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4oqGIeCDZgFGPhpbYR8o53LbTgzNg6JGGCYdMe+2jeP95CdPg8kgPGCcHWy+B0Z9wMruryAjcz6Z2cCFqh42A==" workbookSaltValue="j2jgr5lWyFolrmct4PRH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C16" i="6" s="1"/>
  <c r="I17" i="2"/>
  <c r="G15" i="2"/>
  <c r="G16" i="2"/>
  <c r="G17" i="2"/>
  <c r="E15" i="2"/>
  <c r="E16" i="2"/>
  <c r="AL16" i="11"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M13" i="2"/>
  <c r="N13" i="2"/>
  <c r="T13" i="12"/>
  <c r="T13" i="16"/>
  <c r="T13" i="20"/>
  <c r="BF15" i="8"/>
  <c r="AU18" i="21"/>
  <c r="AH13" i="16"/>
  <c r="AP13" i="16"/>
  <c r="T18" i="17"/>
  <c r="BG15" i="13"/>
  <c r="BE15" i="13"/>
  <c r="AX20" i="20"/>
  <c r="AC19" i="8" l="1"/>
  <c r="B18" i="7"/>
  <c r="S19" i="8"/>
  <c r="B13" i="2"/>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I11" i="12" l="1"/>
  <c r="X12" i="21"/>
  <c r="T9" i="11"/>
  <c r="BF11" i="11"/>
  <c r="BH11" i="16"/>
  <c r="BL9" i="11"/>
  <c r="BH17" i="16"/>
  <c r="BG10" i="11"/>
  <c r="BM16" i="11"/>
  <c r="P17" i="17"/>
  <c r="BL17" i="11"/>
  <c r="P17" i="11" s="1"/>
  <c r="BK12" i="11"/>
  <c r="BF10" i="11"/>
  <c r="Q10" i="11" s="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X19" i="21" s="1"/>
  <c r="U9" i="17"/>
  <c r="U19" i="17" s="1"/>
  <c r="L9" i="2"/>
  <c r="V9" i="16"/>
  <c r="BH9" i="16"/>
  <c r="BJ17" i="11"/>
  <c r="BH15" i="16"/>
  <c r="V11" i="16"/>
  <c r="BF16" i="11"/>
  <c r="Q16" i="11" s="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R18" i="14" s="1"/>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D19" i="12"/>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O17" i="11"/>
  <c r="AV20" i="21"/>
  <c r="U17" i="11"/>
  <c r="T20" i="20"/>
  <c r="G19" i="7" l="1"/>
  <c r="AO13" i="17"/>
  <c r="BW21" i="20"/>
  <c r="BI18"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N20" i="11"/>
  <c r="AR20" i="20"/>
  <c r="AD20" i="16"/>
  <c r="BK20" i="16"/>
  <c r="AR20" i="11"/>
  <c r="AN20" i="16"/>
  <c r="O20" i="11"/>
  <c r="AS20" i="11"/>
  <c r="L20" i="17"/>
  <c r="S20" i="17"/>
  <c r="AV20" i="11"/>
  <c r="K20" i="17"/>
  <c r="P20" i="11"/>
  <c r="AB20" i="16"/>
  <c r="BJ20" i="16"/>
  <c r="U20" i="11"/>
  <c r="AC20" i="11"/>
  <c r="L20" i="11"/>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AJ20" i="17"/>
  <c r="S20" i="11"/>
  <c r="M20" i="21"/>
  <c r="F20" i="21"/>
  <c r="E20" i="16"/>
  <c r="P20" i="21"/>
  <c r="AJ20" i="16"/>
  <c r="AB20" i="21"/>
  <c r="F20" i="16"/>
  <c r="E20" i="17"/>
  <c r="BE20" i="16"/>
  <c r="M20" i="11"/>
  <c r="J20" i="12"/>
  <c r="AL20" i="16"/>
  <c r="AO20" i="16"/>
  <c r="E20" i="1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<sst xmlns="http://schemas.openxmlformats.org/spreadsheetml/2006/main" count="2102" uniqueCount="918">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</sst>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VMO03TTDqq5IiSc3wmu1IHjW+jJdtl+xz5YKtD5rR9lSuYuTEtCNTMgFZH1kJxpuvAJOvV2dFmbfSB7lqs8gA==" saltValue="2oxm8c+u003pBbYSxUAI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6.8642063411153025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106</v>
      </c>
      <c r="D10" s="225">
        <f>IF(ISNUMBER(Datos!I10),Datos!I10," - ")</f>
        <v>106</v>
      </c>
      <c r="E10" s="226">
        <f>IF(ISNUMBER(Datos!J10),Datos!J10," - ")</f>
        <v>302</v>
      </c>
      <c r="F10" s="226">
        <f>IF(ISNUMBER(Datos!K10),Datos!K10," - ")</f>
        <v>302</v>
      </c>
      <c r="G10" s="1034" t="str">
        <f>IF(Datos!E10&lt;&gt;"",Datos!E10,Datos!D10)</f>
        <v>37</v>
      </c>
      <c r="H10" s="227">
        <f>IF(ISNUMBER(Datos!L10),Datos!L10," - ")</f>
        <v>106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3.8609271523178812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106</v>
      </c>
      <c r="D13" s="1049">
        <f>SUBTOTAL(9,D9:D12)</f>
        <v>106</v>
      </c>
      <c r="E13" s="1050">
        <f>SUBTOTAL(9,E9:E12)</f>
        <v>302</v>
      </c>
      <c r="F13" s="1051">
        <f>SUBTOTAL(9,F9:F12)</f>
        <v>302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2143</v>
      </c>
      <c r="D15" s="225">
        <f>IF(ISNUMBER(IF(D_I="SI",Datos!I15,Datos!I15+Datos!AC15)),IF(D_I="SI",Datos!I15,Datos!I15+Datos!AC15)," - ")</f>
        <v>2248</v>
      </c>
      <c r="E15" s="226">
        <f>IF(ISNUMBER(IF(D_I="SI",Datos!J15,Datos!J15+Datos!AD15)),IF(D_I="SI",Datos!J15,Datos!J15+Datos!AD15)," - ")</f>
        <v>8398</v>
      </c>
      <c r="F15" s="226">
        <f>IF(ISNUMBER(IF(D_I="SI",Datos!K15,Datos!K15+Datos!AE15)),IF(D_I="SI",Datos!K15,Datos!K15+Datos!AE15)," - ")</f>
        <v>8116</v>
      </c>
      <c r="G15" s="1034" t="str">
        <f>IF(Datos!E15&lt;&gt;"",Datos!E15,Datos!D15)</f>
        <v>03</v>
      </c>
      <c r="H15" s="227">
        <f>IF(ISNUMBER(IF(D_I="SI",Datos!L15,Datos!L15+Datos!AF15)),IF(D_I="SI",Datos!L15,Datos!L15+Datos!AF15)," - ")</f>
        <v>2425</v>
      </c>
      <c r="I15" s="1044" t="str">
        <f>IF(ISNUMBER(Datos!AS15/Datos!BM15),Datos!AS15/Datos!BM15," - ")</f>
        <v xml:space="preserve"> - </v>
      </c>
      <c r="J15" s="1045">
        <f>IF(ISNUMBER(Datos!BY15/Datos!CN15),Datos!BY15/Datos!CN15," - ")</f>
        <v>0</v>
      </c>
      <c r="K15" s="230">
        <f t="shared" ref="K15:K17" si="3">IF(ISNUMBER((E15-F15)/C15),(E15-F15)/C15," - ")</f>
        <v>0.13159122725151656</v>
      </c>
      <c r="L15" s="1025">
        <f>IF(ISNUMBER(NºAsuntos!I15/NºAsuntos!G15),(NºAsuntos!I15/NºAsuntos!G15)*11," - ")</f>
        <v>3.2867175948743221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401</v>
      </c>
      <c r="D17" s="225">
        <f>IF(ISNUMBER(IF(D_I="SI",Datos!I17,Datos!I17+Datos!AC17)),IF(D_I="SI",Datos!I17,Datos!I17+Datos!AC17)," - ")</f>
        <v>398</v>
      </c>
      <c r="E17" s="226">
        <f>IF(ISNUMBER(IF(D_I="SI",Datos!J17,Datos!J17+Datos!AD17)),IF(D_I="SI",Datos!J17,Datos!J17+Datos!AD17)," - ")</f>
        <v>1747</v>
      </c>
      <c r="F17" s="226">
        <f>IF(ISNUMBER(IF(D_I="SI",Datos!K17,Datos!K17+Datos!AE17)),IF(D_I="SI",Datos!K17,Datos!K17+Datos!AE17)," - ")</f>
        <v>1749</v>
      </c>
      <c r="G17" s="1034" t="str">
        <f>IF(Datos!E17&lt;&gt;"",Datos!E17,Datos!D17)</f>
        <v>37</v>
      </c>
      <c r="H17" s="227">
        <f>IF(ISNUMBER(IF(D_I="SI",Datos!L17,Datos!L17+Datos!AF17)),IF(D_I="SI",Datos!L17,Datos!L17+Datos!AF17)," - ")</f>
        <v>399</v>
      </c>
      <c r="I17" s="1044" t="str">
        <f>IF(ISNUMBER(Datos!AS17/Datos!BM17),Datos!AS17/Datos!BM17," - ")</f>
        <v xml:space="preserve"> - </v>
      </c>
      <c r="J17" s="1045" t="str">
        <f>IF(ISNUMBER((Datos!BY17+Datos!BZ17)/Datos!CN17),(Datos!BY17+Datos!BZ17)/Datos!CN17," - ")</f>
        <v xml:space="preserve"> - </v>
      </c>
      <c r="K17" s="230">
        <f t="shared" si="3"/>
        <v>-4.9875311720698253E-3</v>
      </c>
      <c r="L17" s="1025">
        <f>IF(ISNUMBER(NºAsuntos!I17/NºAsuntos!G17),(NºAsuntos!I17/NºAsuntos!G17)*11," - ")</f>
        <v>2.5094339622641511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2544</v>
      </c>
      <c r="D18" s="1049">
        <f>SUBTOTAL(9,D15:D17)</f>
        <v>2646</v>
      </c>
      <c r="E18" s="1050">
        <f>SUBTOTAL(9,E15:E17)</f>
        <v>10145</v>
      </c>
      <c r="F18" s="1050">
        <f>SUBTOTAL(9,F15:F17)</f>
        <v>9865</v>
      </c>
      <c r="G18" s="1052" t="str">
        <f ca="1">INDIRECT(CONCATENATE("G",ROW()-1))</f>
        <v>37</v>
      </c>
      <c r="H18" s="1053">
        <f ca="1">SUMIF(G$14:G17,G18,H$14:H17)</f>
        <v>399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2650</v>
      </c>
      <c r="D19" s="1071">
        <f>SUBTOTAL(9,D9:D18)</f>
        <v>2752</v>
      </c>
      <c r="E19" s="1072">
        <f>SUBTOTAL(9,E9:E18)</f>
        <v>10447</v>
      </c>
      <c r="F19" s="1072">
        <f>SUBTOTAL(9,F9:F18)</f>
        <v>10167</v>
      </c>
      <c r="G19" s="1073"/>
      <c r="H19" s="1074">
        <f ca="1">SUMIF(B9:B18,"TOTAL",H9:H18)</f>
        <v>399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gZhGBh9YJt3BzGUgMK/wjG2IWvhlMPh/ZpjxJoyO31HQfcrzQGo9T0GoKFxQ3xVaxi96tFryigoRkvCJIdRUQ==" saltValue="y3wVRbOqEnFLuMqneTrix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BNWq5ZdjtskjtYSpcLT5bwY7Bwtc5V+ZHqQWlehHmcO4rhUSpWuaRSVUno46lKGkO8uNG5+w5inIB6xHgEKJg==" saltValue="LiUezWTeixu7EW5DbSU/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4945</v>
      </c>
      <c r="J9" s="181">
        <v>9895</v>
      </c>
      <c r="K9" s="181">
        <v>8953</v>
      </c>
      <c r="L9" s="181">
        <v>5853</v>
      </c>
      <c r="M9" s="181">
        <v>2130</v>
      </c>
      <c r="N9" s="181">
        <v>4326</v>
      </c>
      <c r="O9" s="181">
        <v>4854</v>
      </c>
      <c r="P9" s="181">
        <v>2386</v>
      </c>
      <c r="Q9" s="181">
        <v>2200</v>
      </c>
      <c r="R9" s="181">
        <v>10545</v>
      </c>
      <c r="S9" s="181">
        <v>4340</v>
      </c>
      <c r="T9" s="181">
        <v>9627</v>
      </c>
      <c r="U9" s="181">
        <v>9051</v>
      </c>
      <c r="V9" s="181">
        <v>4945</v>
      </c>
      <c r="W9" s="181">
        <v>2067</v>
      </c>
      <c r="X9" s="188">
        <v>4473</v>
      </c>
      <c r="Y9" s="191">
        <v>272</v>
      </c>
      <c r="Z9" s="181">
        <v>857</v>
      </c>
      <c r="AA9" s="181">
        <v>856</v>
      </c>
      <c r="AB9" s="181">
        <v>268</v>
      </c>
      <c r="AC9" s="181">
        <v>0</v>
      </c>
      <c r="AD9" s="181">
        <v>0</v>
      </c>
      <c r="AE9" s="181">
        <v>0</v>
      </c>
      <c r="AF9" s="188">
        <v>0</v>
      </c>
      <c r="AG9" s="191">
        <v>325</v>
      </c>
      <c r="AH9" s="181">
        <v>982</v>
      </c>
      <c r="AI9" s="181">
        <v>1035</v>
      </c>
      <c r="AJ9" s="192">
        <v>272</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4665</v>
      </c>
      <c r="AZ9" s="123">
        <f>IF(ISNUMBER(IF(J_V="SI",T9,T9+AH9)),IF(J_V="SI",T9,T9+AH9)," - ")</f>
        <v>10609</v>
      </c>
      <c r="BA9" s="124">
        <f>IF(ISNUMBER(IF(J_V="SI",U9,U9+AI9)),IF(J_V="SI",U9,U9+AI9)," - ")</f>
        <v>10086</v>
      </c>
      <c r="BB9" s="124">
        <f>IF(ISNUMBER(IF(J_V="SI",V9,V9+AJ9)),IF(J_V="SI",V9,V9+AJ9)," - ")</f>
        <v>5217</v>
      </c>
      <c r="BC9" s="125">
        <f>IF(ISNUMBER(X9),X9," - ")</f>
        <v>4473</v>
      </c>
      <c r="BD9" s="126">
        <f>IF(ISNUMBER(BA9/AZ9),BA9/AZ9," - ")</f>
        <v>0.95070223395230469</v>
      </c>
      <c r="BE9" s="127">
        <f>IF(ISNUMBER(BB9/BA9),BB9/BA9, " - ")</f>
        <v>0.51725163593099344</v>
      </c>
      <c r="BF9" s="127">
        <f>IF(ISNUMBER(BC9/BA9),BC9/BA9, " - ")</f>
        <v>0.44348602022605593</v>
      </c>
      <c r="BG9" s="196">
        <f>IF(ISNUMBER((AY9+AZ9)/BA9),(AY9+AZ9)/BA9," - ")</f>
        <v>1.5143763632758278</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106</v>
      </c>
      <c r="J10" s="181">
        <v>302</v>
      </c>
      <c r="K10" s="181">
        <v>302</v>
      </c>
      <c r="L10" s="181">
        <v>106</v>
      </c>
      <c r="M10" s="181">
        <v>92</v>
      </c>
      <c r="N10" s="181">
        <v>137</v>
      </c>
      <c r="O10" s="181">
        <v>71</v>
      </c>
      <c r="P10" s="181">
        <v>40</v>
      </c>
      <c r="Q10" s="181">
        <v>45</v>
      </c>
      <c r="R10" s="181">
        <v>67</v>
      </c>
      <c r="S10" s="181">
        <v>95</v>
      </c>
      <c r="T10" s="181">
        <v>266</v>
      </c>
      <c r="U10" s="181">
        <v>214</v>
      </c>
      <c r="V10" s="181">
        <v>106</v>
      </c>
      <c r="W10" s="181">
        <v>58</v>
      </c>
      <c r="X10" s="188">
        <v>110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95</v>
      </c>
      <c r="AZ10" s="129">
        <f t="shared" si="0"/>
        <v>266</v>
      </c>
      <c r="BA10" s="129">
        <f t="shared" si="0"/>
        <v>214</v>
      </c>
      <c r="BB10" s="129">
        <f t="shared" si="0"/>
        <v>106</v>
      </c>
      <c r="BC10" s="125">
        <f t="shared" si="0"/>
        <v>58</v>
      </c>
      <c r="BD10" s="126">
        <f>IF(ISNUMBER(BA10/AZ10),BA10/AZ10," - ")</f>
        <v>0.80451127819548873</v>
      </c>
      <c r="BE10" s="127">
        <f>IF(ISNUMBER(BB10/BA10),BB10/BA10, " - ")</f>
        <v>0.49532710280373832</v>
      </c>
      <c r="BF10" s="127">
        <f>IF(ISNUMBER(BC10/BA10),BC10/BA10, " - ")</f>
        <v>0.27102803738317754</v>
      </c>
      <c r="BG10" s="196">
        <f>IF(ISNUMBER((AY10+AZ10)/BA10),(AY10+AZ10)/BA10," - ")</f>
        <v>1.6869158878504673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5051</v>
      </c>
      <c r="J13" s="184">
        <f t="shared" si="6"/>
        <v>10197</v>
      </c>
      <c r="K13" s="184">
        <f t="shared" si="6"/>
        <v>9255</v>
      </c>
      <c r="L13" s="184">
        <f t="shared" si="6"/>
        <v>5959</v>
      </c>
      <c r="M13" s="184">
        <f t="shared" si="6"/>
        <v>2222</v>
      </c>
      <c r="N13" s="184">
        <f t="shared" si="6"/>
        <v>4463</v>
      </c>
      <c r="O13" s="184">
        <f t="shared" si="6"/>
        <v>4925</v>
      </c>
      <c r="P13" s="184">
        <f t="shared" si="6"/>
        <v>2426</v>
      </c>
      <c r="Q13" s="184">
        <f t="shared" si="6"/>
        <v>2245</v>
      </c>
      <c r="R13" s="184">
        <f t="shared" si="6"/>
        <v>10612</v>
      </c>
      <c r="S13" s="184">
        <f t="shared" si="6"/>
        <v>4435</v>
      </c>
      <c r="T13" s="184">
        <f t="shared" si="6"/>
        <v>9893</v>
      </c>
      <c r="U13" s="184">
        <f t="shared" si="6"/>
        <v>9265</v>
      </c>
      <c r="V13" s="184">
        <f t="shared" si="6"/>
        <v>5051</v>
      </c>
      <c r="W13" s="184">
        <f t="shared" si="6"/>
        <v>2125</v>
      </c>
      <c r="X13" s="184">
        <f t="shared" si="6"/>
        <v>4583</v>
      </c>
      <c r="Y13" s="184">
        <f t="shared" si="6"/>
        <v>272</v>
      </c>
      <c r="Z13" s="184">
        <f t="shared" si="6"/>
        <v>857</v>
      </c>
      <c r="AA13" s="184">
        <f t="shared" si="6"/>
        <v>856</v>
      </c>
      <c r="AB13" s="184">
        <f t="shared" si="6"/>
        <v>268</v>
      </c>
      <c r="AC13" s="184">
        <f t="shared" si="6"/>
        <v>0</v>
      </c>
      <c r="AD13" s="184">
        <f t="shared" si="6"/>
        <v>0</v>
      </c>
      <c r="AE13" s="184">
        <f t="shared" si="6"/>
        <v>0</v>
      </c>
      <c r="AF13" s="184">
        <f>SUBTOTAL(9,AF9:AF12)</f>
        <v>0</v>
      </c>
      <c r="AG13" s="184">
        <f t="shared" ref="AG13:AT13" si="7">SUBTOTAL(9,AG8:AG12)</f>
        <v>325</v>
      </c>
      <c r="AH13" s="184">
        <f t="shared" si="7"/>
        <v>982</v>
      </c>
      <c r="AI13" s="184">
        <f t="shared" si="7"/>
        <v>1035</v>
      </c>
      <c r="AJ13" s="184">
        <f t="shared" si="7"/>
        <v>272</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4760</v>
      </c>
      <c r="AZ13" s="184">
        <f>SUBTOTAL(9,AZ8:AZ12)</f>
        <v>10875</v>
      </c>
      <c r="BA13" s="184">
        <f>SUBTOTAL(9,BA8:BA12)</f>
        <v>10300</v>
      </c>
      <c r="BB13" s="184">
        <f>SUBTOTAL(9,BB8:BB12)</f>
        <v>5323</v>
      </c>
      <c r="BC13" s="184">
        <f>SUBTOTAL(9,BC8:BC12)</f>
        <v>4531</v>
      </c>
      <c r="BD13" s="205">
        <f>IF(ISNUMBER(BA13/AZ13),BA13/AZ13," - ")</f>
        <v>0.94712643678160924</v>
      </c>
      <c r="BE13" s="206">
        <f>IF(ISNUMBER(BB13/BA13),BB13/BA13, " - ")</f>
        <v>0.51679611650485435</v>
      </c>
      <c r="BF13" s="206">
        <f>IF(ISNUMBER(BC13/BA13),BC13/BA13, " - ")</f>
        <v>0.43990291262135922</v>
      </c>
      <c r="BG13" s="207">
        <f>IF(ISNUMBER((AY13+AZ13)/BA13),(AY13+AZ13)/BA13," - ")</f>
        <v>1.5179611650485436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2248</v>
      </c>
      <c r="J15" s="183">
        <v>8398</v>
      </c>
      <c r="K15" s="183">
        <v>8116</v>
      </c>
      <c r="L15" s="183">
        <v>2425</v>
      </c>
      <c r="M15" s="183">
        <v>1815</v>
      </c>
      <c r="N15" s="183">
        <v>3239</v>
      </c>
      <c r="O15" s="181">
        <v>357</v>
      </c>
      <c r="P15" s="183">
        <v>1039</v>
      </c>
      <c r="Q15" s="183">
        <v>929</v>
      </c>
      <c r="R15" s="183">
        <v>547</v>
      </c>
      <c r="S15" s="183">
        <v>2062</v>
      </c>
      <c r="T15" s="183">
        <v>8877</v>
      </c>
      <c r="U15" s="183">
        <v>8710</v>
      </c>
      <c r="V15" s="183">
        <v>2248</v>
      </c>
      <c r="W15" s="183">
        <v>1885</v>
      </c>
      <c r="X15" s="189">
        <v>3844</v>
      </c>
      <c r="Y15" s="202">
        <v>0</v>
      </c>
      <c r="Z15" s="183">
        <v>0</v>
      </c>
      <c r="AA15" s="183">
        <v>0</v>
      </c>
      <c r="AB15" s="183">
        <v>0</v>
      </c>
      <c r="AC15" s="183">
        <v>0</v>
      </c>
      <c r="AD15" s="183">
        <v>2</v>
      </c>
      <c r="AE15" s="183">
        <v>2</v>
      </c>
      <c r="AF15" s="189">
        <v>0</v>
      </c>
      <c r="AG15" s="202">
        <v>0</v>
      </c>
      <c r="AH15" s="183">
        <v>0</v>
      </c>
      <c r="AI15" s="183">
        <v>0</v>
      </c>
      <c r="AJ15" s="203">
        <v>0</v>
      </c>
      <c r="AK15" s="182">
        <v>0</v>
      </c>
      <c r="AL15" s="183">
        <v>28</v>
      </c>
      <c r="AM15" s="183">
        <v>28</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2062</v>
      </c>
      <c r="AZ15" s="129">
        <f t="shared" si="9"/>
        <v>8877</v>
      </c>
      <c r="BA15" s="129">
        <f t="shared" si="9"/>
        <v>8710</v>
      </c>
      <c r="BB15" s="129">
        <f t="shared" si="9"/>
        <v>2248</v>
      </c>
      <c r="BC15" s="125">
        <f>IF(ISNUMBER(W15),W15," - ")</f>
        <v>1885</v>
      </c>
      <c r="BD15" s="126">
        <f>IF(ISNUMBER(BA15/AZ15),BA15/AZ15," - ")</f>
        <v>0.98118733806466152</v>
      </c>
      <c r="BE15" s="127">
        <f>IF(ISNUMBER(BB15/BA15),BB15/BA15, " - ")</f>
        <v>0.25809414466130887</v>
      </c>
      <c r="BF15" s="127">
        <f>IF(ISNUMBER(BC15/BA15),BC15/BA15, " - ")</f>
        <v>0.21641791044776118</v>
      </c>
      <c r="BG15" s="196">
        <f t="shared" ref="BG15:BG16" si="10">IF(ISNUMBER((AY15+AZ15)/BA15),(AY15+AZ15)/BA15," - ")</f>
        <v>1.2559127439724456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398</v>
      </c>
      <c r="J17" s="183">
        <v>1747</v>
      </c>
      <c r="K17" s="183">
        <v>1749</v>
      </c>
      <c r="L17" s="183">
        <v>399</v>
      </c>
      <c r="M17" s="183">
        <v>286</v>
      </c>
      <c r="N17" s="183">
        <v>692</v>
      </c>
      <c r="O17" s="183">
        <v>28</v>
      </c>
      <c r="P17" s="183">
        <v>50</v>
      </c>
      <c r="Q17" s="183">
        <v>39</v>
      </c>
      <c r="R17" s="183">
        <v>23</v>
      </c>
      <c r="S17" s="183">
        <v>449</v>
      </c>
      <c r="T17" s="183">
        <v>1568</v>
      </c>
      <c r="U17" s="183">
        <v>1612</v>
      </c>
      <c r="V17" s="183">
        <v>398</v>
      </c>
      <c r="W17" s="183">
        <v>190</v>
      </c>
      <c r="X17" s="189">
        <v>831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449</v>
      </c>
      <c r="AZ17" s="129">
        <f t="shared" si="14"/>
        <v>1568</v>
      </c>
      <c r="BA17" s="129">
        <f t="shared" si="14"/>
        <v>1612</v>
      </c>
      <c r="BB17" s="129">
        <f t="shared" si="14"/>
        <v>398</v>
      </c>
      <c r="BC17" s="125">
        <f>IF(ISNUMBER(W17),W17," - ")</f>
        <v>190</v>
      </c>
      <c r="BD17" s="126">
        <f>IF(ISNUMBER(BA17/AZ17),BA17/AZ17," - ")</f>
        <v>1.028061224489796</v>
      </c>
      <c r="BE17" s="127">
        <f>IF(ISNUMBER(BB17/BA17),BB17/BA17, " - ")</f>
        <v>0.24689826302729528</v>
      </c>
      <c r="BF17" s="127">
        <f>IF(ISNUMBER(BC17/BA17),BC17/BA17, " - ")</f>
        <v>0.11786600496277916</v>
      </c>
      <c r="BG17" s="196">
        <f>IF(ISNUMBER((AY17+AZ17)/BA17),(AY17+AZ17)/BA17," - ")</f>
        <v>1.251240694789082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2646</v>
      </c>
      <c r="J18" s="184">
        <f t="shared" si="15"/>
        <v>10145</v>
      </c>
      <c r="K18" s="184">
        <f t="shared" si="15"/>
        <v>9865</v>
      </c>
      <c r="L18" s="184">
        <f t="shared" si="15"/>
        <v>2824</v>
      </c>
      <c r="M18" s="184">
        <f t="shared" si="15"/>
        <v>2101</v>
      </c>
      <c r="N18" s="184">
        <f t="shared" si="15"/>
        <v>3931</v>
      </c>
      <c r="O18" s="184">
        <f t="shared" si="15"/>
        <v>385</v>
      </c>
      <c r="P18" s="184">
        <f t="shared" si="15"/>
        <v>1089</v>
      </c>
      <c r="Q18" s="184">
        <f t="shared" si="15"/>
        <v>968</v>
      </c>
      <c r="R18" s="184">
        <f t="shared" si="15"/>
        <v>570</v>
      </c>
      <c r="S18" s="184">
        <f t="shared" si="15"/>
        <v>2511</v>
      </c>
      <c r="T18" s="184">
        <f t="shared" si="15"/>
        <v>10445</v>
      </c>
      <c r="U18" s="184">
        <f t="shared" si="15"/>
        <v>10322</v>
      </c>
      <c r="V18" s="184">
        <f t="shared" si="15"/>
        <v>2646</v>
      </c>
      <c r="W18" s="184">
        <f t="shared" si="15"/>
        <v>2075</v>
      </c>
      <c r="X18" s="184">
        <f t="shared" si="15"/>
        <v>4675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28</v>
      </c>
      <c r="AM18" s="184">
        <f t="shared" si="15"/>
        <v>28</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2511</v>
      </c>
      <c r="AZ18" s="184">
        <f>SUBTOTAL(9,AZ14:AZ17)</f>
        <v>10445</v>
      </c>
      <c r="BA18" s="184">
        <f>SUBTOTAL(9,BA14:BA17)</f>
        <v>10322</v>
      </c>
      <c r="BB18" s="184">
        <f>SUBTOTAL(9,BB14:BB17)</f>
        <v>2646</v>
      </c>
      <c r="BC18" s="184">
        <f>SUBTOTAL(9,BC14:BC17)</f>
        <v>2075</v>
      </c>
      <c r="BD18" s="205">
        <f>IF(ISNUMBER(BA18/AZ18),BA18/AZ18," - ")</f>
        <v>0.9882240306366683</v>
      </c>
      <c r="BE18" s="206">
        <f>IF(ISNUMBER(BB18/BA18),BB18/BA18, " - ")</f>
        <v>0.25634566944390624</v>
      </c>
      <c r="BF18" s="206">
        <f>IF(ISNUMBER(BC18/BA18),BC18/BA18, " - ")</f>
        <v>0.20102693276496802</v>
      </c>
      <c r="BG18" s="207">
        <f>IF(ISNUMBER((AY18+AZ18)/BA18),(AY18+AZ18)/BA18," - ")</f>
        <v>1.2551831040496029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7697</v>
      </c>
      <c r="J19" s="134">
        <f t="shared" si="18"/>
        <v>20342</v>
      </c>
      <c r="K19" s="134">
        <f t="shared" si="18"/>
        <v>19120</v>
      </c>
      <c r="L19" s="134">
        <f t="shared" si="18"/>
        <v>8783</v>
      </c>
      <c r="M19" s="134">
        <f t="shared" si="18"/>
        <v>4323</v>
      </c>
      <c r="N19" s="134">
        <f t="shared" si="18"/>
        <v>8394</v>
      </c>
      <c r="O19" s="134">
        <f t="shared" si="18"/>
        <v>5310</v>
      </c>
      <c r="P19" s="134">
        <f t="shared" si="18"/>
        <v>3515</v>
      </c>
      <c r="Q19" s="134">
        <f t="shared" si="18"/>
        <v>3213</v>
      </c>
      <c r="R19" s="134">
        <f t="shared" si="18"/>
        <v>11182</v>
      </c>
      <c r="S19" s="134">
        <f t="shared" si="18"/>
        <v>6946</v>
      </c>
      <c r="T19" s="134">
        <f t="shared" si="18"/>
        <v>20338</v>
      </c>
      <c r="U19" s="134">
        <f t="shared" si="18"/>
        <v>19587</v>
      </c>
      <c r="V19" s="134">
        <f t="shared" si="18"/>
        <v>7697</v>
      </c>
      <c r="W19" s="134">
        <f t="shared" si="18"/>
        <v>4200</v>
      </c>
      <c r="X19" s="134">
        <f t="shared" si="18"/>
        <v>9258</v>
      </c>
      <c r="Y19" s="134">
        <f t="shared" si="18"/>
        <v>272</v>
      </c>
      <c r="Z19" s="134">
        <f t="shared" si="18"/>
        <v>857</v>
      </c>
      <c r="AA19" s="134">
        <f t="shared" si="18"/>
        <v>856</v>
      </c>
      <c r="AB19" s="134">
        <f t="shared" si="18"/>
        <v>268</v>
      </c>
      <c r="AC19" s="134">
        <f t="shared" si="18"/>
        <v>0</v>
      </c>
      <c r="AD19" s="134">
        <f t="shared" si="18"/>
        <v>2</v>
      </c>
      <c r="AE19" s="134">
        <f t="shared" si="18"/>
        <v>2</v>
      </c>
      <c r="AF19" s="134">
        <f t="shared" si="18"/>
        <v>0</v>
      </c>
      <c r="AG19" s="134">
        <f t="shared" si="18"/>
        <v>325</v>
      </c>
      <c r="AH19" s="134">
        <f t="shared" si="18"/>
        <v>982</v>
      </c>
      <c r="AI19" s="134">
        <f t="shared" si="18"/>
        <v>1035</v>
      </c>
      <c r="AJ19" s="134">
        <f t="shared" si="18"/>
        <v>272</v>
      </c>
      <c r="AK19" s="134">
        <f t="shared" si="18"/>
        <v>0</v>
      </c>
      <c r="AL19" s="134">
        <f t="shared" si="18"/>
        <v>28</v>
      </c>
      <c r="AM19" s="134">
        <f t="shared" si="18"/>
        <v>28</v>
      </c>
      <c r="AN19" s="210">
        <f t="shared" si="18"/>
        <v>0</v>
      </c>
      <c r="AO19" s="211">
        <v>10</v>
      </c>
      <c r="AP19" s="211">
        <v>10</v>
      </c>
      <c r="AQ19" s="211">
        <v>10</v>
      </c>
      <c r="AR19" s="211">
        <v>10</v>
      </c>
      <c r="AS19" s="153">
        <f t="shared" si="18"/>
        <v>0</v>
      </c>
      <c r="AT19" s="153">
        <f t="shared" si="18"/>
        <v>0</v>
      </c>
      <c r="AU19" s="211"/>
      <c r="AV19" s="212"/>
      <c r="AW19" s="211"/>
      <c r="AX19" s="212"/>
      <c r="AY19" s="133">
        <f>SUBTOTAL(9,AY9:AY18)</f>
        <v>7271</v>
      </c>
      <c r="AZ19" s="134">
        <f>SUBTOTAL(9,AZ9:AZ18)</f>
        <v>21320</v>
      </c>
      <c r="BA19" s="134">
        <f>SUBTOTAL(9,BA9:BA18)</f>
        <v>20622</v>
      </c>
      <c r="BB19" s="134">
        <f>SUBTOTAL(9,BB9:BB18)</f>
        <v>7969</v>
      </c>
      <c r="BC19" s="135">
        <f>SUBTOTAL(9,BC9:BC18)</f>
        <v>6606</v>
      </c>
      <c r="BD19" s="213">
        <f>IF(ISNUMBER(BA19/AZ19),BA19/AZ19," - ")</f>
        <v>0.96726078799249526</v>
      </c>
      <c r="BE19" s="210">
        <f>IF(ISNUMBER(BB19/BA19),BB19/BA19, " - ")</f>
        <v>0.38643196586170109</v>
      </c>
      <c r="BF19" s="210">
        <f>IF(ISNUMBER(BC19/BA19),BC19/BA19, " - ")</f>
        <v>0.32033750363689262</v>
      </c>
      <c r="BG19" s="135">
        <f>IF(ISNUMBER((AY19+AZ19)/BA19),(AY19+AZ19)/BA19," - ")</f>
        <v>1.386431965861701</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VPqJSvEMorGuINoCcJ7vjK0G0SdhZOzu9ITeYrW92f2J/bMMD+b0mOEORm1/2x6io4RgG+4i/fqufG0DDNbg==" saltValue="LrenSxhZycNDGTDmkrohY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CA4ooT7F6C62H1m1RKnhegeHGEikDW1YNW+dA8KFSPaGmRPqclcsqJ0Z0Lr88LkrUxLee2Y0Ipa3kMQe3WyA==" saltValue="EjeJB5z4o5qzqaYYrj9I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857</v>
      </c>
      <c r="O9" s="334"/>
      <c r="P9" s="334"/>
      <c r="Q9" s="226">
        <f>IF(ISNUMBER(Datos!P9),Datos!P9,0)</f>
        <v>2386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2200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268</v>
      </c>
      <c r="AI9" s="334" t="str">
        <f>IF(ISNUMBER(Datos!CD9),Datos!CD9,"-")</f>
        <v>-</v>
      </c>
      <c r="AJ9" s="334" t="str">
        <f>IF(ISNUMBER(Datos!EN9),Datos!EN9," - ")</f>
        <v xml:space="preserve"> - </v>
      </c>
      <c r="AK9" s="334"/>
      <c r="AL9" s="479"/>
      <c r="AM9" s="335">
        <f>IF(ISNUMBER(Datos!R9),Datos!R9," - ")</f>
        <v>10545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2130</v>
      </c>
      <c r="BD9" s="229">
        <f>IF(ISNUMBER(Datos!N9),Datos!N9," - ")</f>
        <v>4326</v>
      </c>
      <c r="BE9" s="229" t="str">
        <f>IF(ISNUMBER(Datos!BW9),Datos!BW9," - ")</f>
        <v xml:space="preserve"> - </v>
      </c>
      <c r="BF9" s="228" t="str">
        <f>IF(ISNUMBER(Datos!BX9),Datos!BX9," - ")</f>
        <v xml:space="preserve"> - </v>
      </c>
      <c r="BG9" s="243">
        <f>IF(ISNUMBER(IF(J_V="SI",Datos!K9/Datos!J9,(Datos!K9+Datos!AA9)/(Datos!J9+Datos!Z9))),IF(J_V="SI",Datos!K9/Datos!J9,(Datos!K9+Datos!AA9)/(Datos!J9+Datos!Z9))," - ")</f>
        <v>0.91229538690476186</v>
      </c>
      <c r="BH9" s="260">
        <f>IF(ISNUMBER(((IF(J_V="SI",Datos!L9/Datos!K9,(Datos!L9+Datos!AB9)/(Datos!K9+Datos!AA9)))*11)/factor_trimestre),((IF(J_V="SI",Datos!L9/Datos!K9,(Datos!L9+Datos!AB9)/(Datos!K9+Datos!AA9)))*11)/factor_trimestre," - ")</f>
        <v>6.8642063411153025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1.7955401100492326E-2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106</v>
      </c>
      <c r="G10" s="333">
        <f>IF(ISNUMBER(Datos!I10),Datos!I10," - ")</f>
        <v>106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302</v>
      </c>
      <c r="AC10" s="226">
        <f>IF(ISNUMBER(Datos!Q10),Datos!Q10," - ")</f>
        <v>45</v>
      </c>
      <c r="AD10" s="334"/>
      <c r="AE10" s="484"/>
      <c r="AF10" s="332">
        <f>IF(ISNUMBER(Datos!L10),Datos!L10,"-")</f>
        <v>106</v>
      </c>
      <c r="AG10" s="334"/>
      <c r="AH10" s="334"/>
      <c r="AI10" s="334"/>
      <c r="AJ10" s="334"/>
      <c r="AK10" s="334"/>
      <c r="AL10" s="479"/>
      <c r="AM10" s="335">
        <f>IF(ISNUMBER(Datos!R10),Datos!R10," - ")</f>
        <v>67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92</v>
      </c>
      <c r="BD10" s="229">
        <f>IF(ISNUMBER(Datos!N10),Datos!N10," - ")</f>
        <v>137</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3.8609271523178812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-6.9444444444444448E-2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7</v>
      </c>
      <c r="F13" s="898">
        <f t="shared" si="0"/>
        <v>106</v>
      </c>
      <c r="G13" s="898">
        <f t="shared" si="0"/>
        <v>106</v>
      </c>
      <c r="H13" s="899">
        <f t="shared" si="0"/>
        <v>0</v>
      </c>
      <c r="I13" s="898">
        <f t="shared" si="0"/>
        <v>0</v>
      </c>
      <c r="J13" s="867">
        <f t="shared" si="0"/>
        <v>0</v>
      </c>
      <c r="K13" s="867">
        <f t="shared" si="0"/>
        <v>0</v>
      </c>
      <c r="L13" s="899">
        <f t="shared" si="0"/>
        <v>0</v>
      </c>
      <c r="M13" s="899">
        <f t="shared" si="0"/>
        <v>0</v>
      </c>
      <c r="N13" s="899">
        <f t="shared" si="0"/>
        <v>857</v>
      </c>
      <c r="O13" s="900">
        <f t="shared" si="0"/>
        <v>0</v>
      </c>
      <c r="P13" s="900">
        <f t="shared" si="0"/>
        <v>0</v>
      </c>
      <c r="Q13" s="899">
        <f t="shared" si="0"/>
        <v>2426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302</v>
      </c>
      <c r="AC13" s="899">
        <f t="shared" si="1"/>
        <v>2245</v>
      </c>
      <c r="AD13" s="899">
        <f t="shared" si="1"/>
        <v>0</v>
      </c>
      <c r="AE13" s="899">
        <f t="shared" si="1"/>
        <v>0</v>
      </c>
      <c r="AF13" s="899">
        <f t="shared" si="1"/>
        <v>106</v>
      </c>
      <c r="AG13" s="899">
        <f t="shared" si="1"/>
        <v>0</v>
      </c>
      <c r="AH13" s="899">
        <f t="shared" si="1"/>
        <v>268</v>
      </c>
      <c r="AI13" s="899">
        <f t="shared" si="1"/>
        <v>0</v>
      </c>
      <c r="AJ13" s="899">
        <f t="shared" si="1"/>
        <v>0</v>
      </c>
      <c r="AK13" s="899">
        <f t="shared" si="1"/>
        <v>0</v>
      </c>
      <c r="AL13" s="899">
        <f t="shared" si="1"/>
        <v>0</v>
      </c>
      <c r="AM13" s="899">
        <f t="shared" si="1"/>
        <v>10612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2222</v>
      </c>
      <c r="BD13" s="899">
        <f t="shared" si="1"/>
        <v>4463</v>
      </c>
      <c r="BE13" s="899">
        <f t="shared" si="1"/>
        <v>0</v>
      </c>
      <c r="BF13" s="899">
        <f t="shared" si="1"/>
        <v>0</v>
      </c>
      <c r="BG13" s="899">
        <f>IF(ISNUMBER(Datos!K13/Datos!J13),Datos!K13/Datos!J13," - ")</f>
        <v>0.90761988820241246</v>
      </c>
      <c r="BH13" s="903">
        <f>IF(ISNUMBER(((Datos!L13/Datos!K13)*11)/factor_trimestre),((Datos!L13/Datos!K13)*11)/factor_trimestre," - ")</f>
        <v>7.0825499729875743</v>
      </c>
      <c r="BI13" s="899">
        <f>IF(ISNUMBER('Resol  Asuntos'!D13/NºAsuntos!G13),'Resol  Asuntos'!D13/NºAsuntos!G13," - ")</f>
        <v>0.21976065671051331</v>
      </c>
      <c r="BJ13" s="899" t="str">
        <f>IF(ISNUMBER(Datos!CI13/Datos!CJ13),Datos!CI13/Datos!CJ13," - ")</f>
        <v xml:space="preserve"> - </v>
      </c>
      <c r="BK13" s="899">
        <f>SUBTOTAL(9,BK8:BK12)</f>
        <v>0</v>
      </c>
      <c r="BL13" s="899">
        <f>IF(ISNUMBER((I13-AB13+L13)/(F13)),(I13-AB13+L13)/(F13)," - ")</f>
        <v>-2.8490566037735849</v>
      </c>
      <c r="BM13" s="904">
        <f>SUBTOTAL(9,BM9:BM12)</f>
        <v>-5.1489043343952122E-2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2143</v>
      </c>
      <c r="G15" s="598">
        <f>IF(ISNUMBER(IF(D_I="SI",Datos!I15,Datos!I15+Datos!AC15)),IF(D_I="SI",Datos!I15,Datos!I15+Datos!AC15)," - ")</f>
        <v>2248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1039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8116</v>
      </c>
      <c r="AC15" s="226">
        <f>IF(ISNUMBER(Datos!Q15),Datos!Q15," - ")</f>
        <v>929</v>
      </c>
      <c r="AD15" s="334"/>
      <c r="AE15" s="484"/>
      <c r="AF15" s="596">
        <f>IF(ISNUMBER(IF(D_I="SI",Datos!L15,Datos!L15+Datos!AF15)),IF(D_I="SI",Datos!L15,Datos!L15+Datos!AF15)," - ")</f>
        <v>2425</v>
      </c>
      <c r="AG15" s="334"/>
      <c r="AH15" s="334"/>
      <c r="AI15" s="334"/>
      <c r="AJ15" s="334"/>
      <c r="AK15" s="334"/>
      <c r="AL15" s="479"/>
      <c r="AM15" s="335">
        <f>IF(ISNUMBER(Datos!R15),Datos!R15," - ")</f>
        <v>547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1815</v>
      </c>
      <c r="BD15" s="229">
        <f>IF(ISNUMBER(Datos!N15),Datos!N15," - ")</f>
        <v>3239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0.96642057632769707</v>
      </c>
      <c r="BH15" s="260">
        <f>IF(ISNUMBER(((IF(D_I="SI",Datos!L15/Datos!K15,(Datos!L15+Datos!AF15)/(Datos!K15+Datos!AE15)))*11)/factor_trimestre),((IF(D_I="SI",Datos!L15/Datos!K15,(Datos!L15+Datos!AF15)/(Datos!K15+Datos!AE15)))*11)/factor_trimestre," - ")</f>
        <v>3.2867175948743221</v>
      </c>
      <c r="BI15" s="243">
        <f>IF(ISNUMBER('Resol  Asuntos'!D15/NºAsuntos!G15),'Resol  Asuntos'!D15/NºAsuntos!G15," - ")</f>
        <v>0.22363233119763432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1749</v>
      </c>
      <c r="AC17" s="226">
        <f>IF(ISNUMBER(Datos!Q17),Datos!Q17," - ")</f>
        <v>39</v>
      </c>
      <c r="AD17" s="334"/>
      <c r="AE17" s="484"/>
      <c r="AF17" s="332">
        <f>IF(ISNUMBER(Datos!L17),Datos!L17,"-")</f>
        <v>399</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286</v>
      </c>
      <c r="BD17" s="229">
        <f>IF(ISNUMBER(Datos!N17),Datos!N17," - ")</f>
        <v>692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1.0011448196908987</v>
      </c>
      <c r="BH17" s="260">
        <f>IF(ISNUMBER(((IF(D_I="SI",Datos!L17/Datos!K17,(Datos!L17+Datos!AF17)/(Datos!K17+Datos!AE17)))*11)/factor_trimestre),((IF(D_I="SI",Datos!L17/Datos!K17,(Datos!L17+Datos!AF17)/(Datos!K17+Datos!AE17)))*11)/factor_trimestre," - ")</f>
        <v>2.5094339622641511</v>
      </c>
      <c r="BI17" s="243">
        <f>IF(ISNUMBER('Resol  Asuntos'!D17/NºAsuntos!G17),'Resol  Asuntos'!D17/NºAsuntos!G17," - ")</f>
        <v>0.16352201257861634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2143</v>
      </c>
      <c r="G18" s="898">
        <f>SUBTOTAL(9,G15:G17)</f>
        <v>2646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9865</v>
      </c>
      <c r="AC18" s="899">
        <f t="shared" si="4"/>
        <v>968</v>
      </c>
      <c r="AD18" s="899">
        <f t="shared" si="4"/>
        <v>0</v>
      </c>
      <c r="AE18" s="899">
        <f t="shared" si="4"/>
        <v>0</v>
      </c>
      <c r="AF18" s="899">
        <f t="shared" si="4"/>
        <v>2824</v>
      </c>
      <c r="AG18" s="899">
        <f t="shared" si="4"/>
        <v>0</v>
      </c>
      <c r="AH18" s="899">
        <f t="shared" si="4"/>
        <v>0</v>
      </c>
      <c r="AI18" s="899">
        <f t="shared" si="4"/>
        <v>0</v>
      </c>
      <c r="AJ18" s="899">
        <f t="shared" si="4"/>
        <v>0</v>
      </c>
      <c r="AK18" s="899">
        <f t="shared" si="4"/>
        <v>0</v>
      </c>
      <c r="AL18" s="899">
        <f t="shared" si="4"/>
        <v>0</v>
      </c>
      <c r="AM18" s="899">
        <f t="shared" si="4"/>
        <v>570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2101</v>
      </c>
      <c r="BD18" s="899">
        <f t="shared" si="4"/>
        <v>3931</v>
      </c>
      <c r="BE18" s="899">
        <f t="shared" si="4"/>
        <v>0</v>
      </c>
      <c r="BF18" s="899">
        <f t="shared" si="4"/>
        <v>0</v>
      </c>
      <c r="BG18" s="899">
        <f>IF(ISNUMBER(Datos!K18/Datos!J18),Datos!K18/Datos!J18," - ")</f>
        <v>0.97240019714144899</v>
      </c>
      <c r="BH18" s="903">
        <f>IF(ISNUMBER(((Datos!L18/Datos!K18)*11)/factor_trimestre),((Datos!L18/Datos!K18)*11)/factor_trimestre," - ")</f>
        <v>3.1489102889001521</v>
      </c>
      <c r="BI18" s="899">
        <f>SUBTOTAL(9,BI15:BI17)</f>
        <v>0.38715434377625069</v>
      </c>
      <c r="BJ18" s="899">
        <f>SUBTOTAL(9,BJ15:BJ17)</f>
        <v>0</v>
      </c>
      <c r="BK18" s="899">
        <f>SUBTOTAL(9,BK15:BK17)</f>
        <v>0</v>
      </c>
      <c r="BL18" s="899">
        <f>IF(ISNUMBER((I18-AB18+L18)/(F18)),(I18-AB18+L18)/(F18)," - ")</f>
        <v>-4.6033597760149325</v>
      </c>
      <c r="BM18" s="905">
        <f>IF(ISNUMBER((Datos!P18-Datos!Q18)/(Datos!R18-Datos!P18+Datos!Q18)),(Datos!P18-Datos!Q18)/(Datos!R18-Datos!P18+Datos!Q18)," - ")</f>
        <v>0.26948775055679286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11</v>
      </c>
      <c r="F19" s="820">
        <f t="shared" si="6"/>
        <v>2249</v>
      </c>
      <c r="G19" s="820">
        <f t="shared" si="6"/>
        <v>2752</v>
      </c>
      <c r="H19" s="822">
        <f t="shared" si="6"/>
        <v>0</v>
      </c>
      <c r="I19" s="820">
        <f t="shared" si="6"/>
        <v>0</v>
      </c>
      <c r="J19" s="822">
        <f t="shared" si="6"/>
        <v>0</v>
      </c>
      <c r="K19" s="822">
        <f t="shared" si="6"/>
        <v>0</v>
      </c>
      <c r="L19" s="881">
        <f t="shared" si="6"/>
        <v>0</v>
      </c>
      <c r="M19" s="881">
        <f t="shared" si="6"/>
        <v>0</v>
      </c>
      <c r="N19" s="881">
        <f t="shared" si="6"/>
        <v>857</v>
      </c>
      <c r="O19" s="881">
        <f t="shared" si="6"/>
        <v>0</v>
      </c>
      <c r="P19" s="881">
        <f t="shared" si="6"/>
        <v>0</v>
      </c>
      <c r="Q19" s="822">
        <f t="shared" si="6"/>
        <v>3515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10167</v>
      </c>
      <c r="AC19" s="821">
        <f t="shared" si="7"/>
        <v>3213</v>
      </c>
      <c r="AD19" s="821">
        <f t="shared" si="7"/>
        <v>0</v>
      </c>
      <c r="AE19" s="821">
        <f t="shared" si="7"/>
        <v>0</v>
      </c>
      <c r="AF19" s="828">
        <f t="shared" si="7"/>
        <v>2930</v>
      </c>
      <c r="AG19" s="828">
        <f t="shared" si="7"/>
        <v>0</v>
      </c>
      <c r="AH19" s="828">
        <f t="shared" si="7"/>
        <v>268</v>
      </c>
      <c r="AI19" s="828">
        <f t="shared" si="7"/>
        <v>0</v>
      </c>
      <c r="AJ19" s="821">
        <f t="shared" si="7"/>
        <v>0</v>
      </c>
      <c r="AK19" s="828">
        <f t="shared" si="7"/>
        <v>0</v>
      </c>
      <c r="AL19" s="828">
        <f t="shared" si="7"/>
        <v>0</v>
      </c>
      <c r="AM19" s="828">
        <f t="shared" si="7"/>
        <v>11182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4323</v>
      </c>
      <c r="BD19" s="820">
        <f t="shared" si="7"/>
        <v>8394</v>
      </c>
      <c r="BE19" s="820">
        <f t="shared" si="7"/>
        <v>0</v>
      </c>
      <c r="BF19" s="830">
        <f t="shared" si="7"/>
        <v>0</v>
      </c>
      <c r="BG19" s="915">
        <f>IF(ISNUMBER(Datos!K19/Datos!J19),Datos!K19/Datos!J19," - ")</f>
        <v>0.9399272441254547</v>
      </c>
      <c r="BH19" s="915">
        <f>IF(ISNUMBER(((Datos!L19/Datos!K19)*11)/factor_trimestre),((Datos!L19/Datos!K19)*11)/factor_trimestre," - ")</f>
        <v>5.052981171548117</v>
      </c>
      <c r="BI19" s="813">
        <f>IF(ISNUMBER(Datos!J19/Datos!I19),Datos!J19/Datos!I19," - ")</f>
        <v>2.6428478628036896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-4.5206758559359717</v>
      </c>
      <c r="BM19" s="889">
        <f>IF(ISNUMBER((Datos!P19-Datos!Q19+R19)/(Datos!R19-Datos!P19+Datos!Q19-R19)),(Datos!P19-Datos!Q19+R19)/(Datos!R19-Datos!P19+Datos!Q19-R19)," - ")</f>
        <v>2.7757352941176469E-2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1176.0624983392677</v>
      </c>
      <c r="G21" s="552">
        <f>IF(ISNUMBER(STDEV(G8:G18)),STDEV(G8:G18),"-")</f>
        <v>1242.6677753929246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4575.335474039035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981.22209514462122</v>
      </c>
      <c r="BD21" s="551"/>
      <c r="BE21" s="551">
        <f>IF(ISNUMBER(STDEV(BE8:BE18)),STDEV(BE8:BE18),"-")</f>
        <v>0</v>
      </c>
      <c r="BF21" s="556">
        <f>IF(ISNUMBER(STDEV(BF8:BF18)),STDEV(BF8:BF18),"-")</f>
        <v>0</v>
      </c>
      <c r="BG21" s="775">
        <f>IF(ISNUMBER(STDEV(BG8:BG18)),STDEV(BG8:BG18),"-")</f>
        <v>4.1248730244753791E-2</v>
      </c>
      <c r="BH21" s="776">
        <f>IF(ISNUMBER(STDEV(BH8:BH18)),STDEV(BH8:BH18),"-")</f>
        <v>1.9958512818772596</v>
      </c>
      <c r="BI21" s="249">
        <f>IF(ISNUMBER(STDEV(BI8:BI18)),STDEV(BI8:BI18),"-")</f>
        <v>9.6420321157644526E-2</v>
      </c>
      <c r="BJ21" s="230" t="str">
        <f>IF(ISNUMBER(BL21/BM21),BL21/BM21," - ")</f>
        <v xml:space="preserve"> - </v>
      </c>
      <c r="BK21" s="575"/>
      <c r="BL21" s="559">
        <f>IF(ISNUMBER(STDEV(BL8:BL18)),STDEV(BL8:BL18),"-")</f>
        <v>1.2404796693489291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1M8lEtaRE1V1Bp1qDkDpNzB0/YivAHn7dW5HUyUcTHMLMFIg79+hlGrFulGAgo7vef9DIa9ryKuUgF5OW3wQfA==" saltValue="YyZhVJEwz71I4S3Wnv4C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TORRENT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2386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2200</v>
      </c>
      <c r="AA9" s="332" t="str">
        <f>IF(ISNUMBER(IF(J_V="SI",Datos!L9,Datos!L9+Datos!AB9)-IF(Monitorios="SI",Datos!CD9,0)),
                          IF(J_V="SI",Datos!L9,Datos!L9+Datos!AB9)-IF(Monitorios="SI",Datos!CD9,0),
                          " - ")</f>
        <v xml:space="preserve"> - </v>
      </c>
      <c r="AB9" s="334"/>
      <c r="AC9" s="334"/>
      <c r="AD9" s="484"/>
      <c r="AE9" s="484">
        <f>IF(ISNUMBER(Datos!R9),Datos!R9," - ")</f>
        <v>10545</v>
      </c>
      <c r="AF9" s="229" t="str">
        <f>IF(ISNUMBER(Datos!BV9),Datos!BV9," - ")</f>
        <v xml:space="preserve"> - </v>
      </c>
      <c r="AG9" s="225" t="str">
        <f>IF(ISNUMBER(Datos!DV9),Datos!DV9," - ")</f>
        <v xml:space="preserve"> - </v>
      </c>
      <c r="AH9" s="298"/>
      <c r="AI9" s="227"/>
      <c r="AJ9" s="225">
        <f>IF(ISNUMBER(Datos!M9),Datos!M9," - ")</f>
        <v>2130</v>
      </c>
      <c r="AK9" s="229">
        <f>IF(ISNUMBER(Datos!N9),Datos!N9," - ")</f>
        <v>4326</v>
      </c>
      <c r="AL9" s="229" t="str">
        <f>IF(ISNUMBER(Datos!BW9),Datos!BW9," - ")</f>
        <v xml:space="preserve"> - </v>
      </c>
      <c r="AM9" s="228" t="str">
        <f>IF(ISNUMBER(Datos!BX9),Datos!BX9," - ")</f>
        <v xml:space="preserve"> - </v>
      </c>
      <c r="AN9" s="243"/>
      <c r="AO9" s="260">
        <f>IF(ISNUMBER(((NºAsuntos!I9/NºAsuntos!G9)*11)/factor_trimestre),((NºAsuntos!I9/NºAsuntos!G9)*11)/factor_trimestre," - ")</f>
        <v>6.8642063411153025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1.7955401100492326E-2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106</v>
      </c>
      <c r="G10" s="225">
        <f>IF(ISNUMBER(Datos!I10),Datos!I10," - ")</f>
        <v>106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302</v>
      </c>
      <c r="Z10" s="619">
        <f>IF(ISNUMBER(Datos!Q10),Datos!Q10," - ")</f>
        <v>45</v>
      </c>
      <c r="AA10" s="332">
        <f>IF(ISNUMBER(Datos!L10),Datos!L10,"-")</f>
        <v>106</v>
      </c>
      <c r="AB10" s="334"/>
      <c r="AC10" s="334"/>
      <c r="AD10" s="484"/>
      <c r="AE10" s="484">
        <f>IF(ISNUMBER(Datos!R10),Datos!R10," - ")</f>
        <v>67</v>
      </c>
      <c r="AF10" s="229" t="str">
        <f>IF(ISNUMBER(Datos!BV10),Datos!BV10," - ")</f>
        <v xml:space="preserve"> - </v>
      </c>
      <c r="AG10" s="225" t="str">
        <f>IF(ISNUMBER(Datos!DV10),Datos!DV10," - ")</f>
        <v xml:space="preserve"> - </v>
      </c>
      <c r="AH10" s="298"/>
      <c r="AI10" s="227"/>
      <c r="AJ10" s="225">
        <f>IF(ISNUMBER(Datos!M10),Datos!M10," - ")</f>
        <v>92</v>
      </c>
      <c r="AK10" s="229">
        <f>IF(ISNUMBER(Datos!N10),Datos!N10," - ")</f>
        <v>137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3.8609271523178812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-6.9444444444444448E-2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7</v>
      </c>
      <c r="F13" s="898">
        <f>SUBTOTAL(9,F8:F12)</f>
        <v>106</v>
      </c>
      <c r="G13" s="898">
        <f>SUBTOTAL(9,G8:G12)</f>
        <v>106</v>
      </c>
      <c r="H13" s="908"/>
      <c r="I13" s="898">
        <f t="shared" ref="I13:N13" si="0">SUBTOTAL(9,I8:I12)</f>
        <v>0</v>
      </c>
      <c r="J13" s="867">
        <f t="shared" si="0"/>
        <v>0</v>
      </c>
      <c r="K13" s="908">
        <f t="shared" si="0"/>
        <v>0</v>
      </c>
      <c r="L13" s="908">
        <f t="shared" si="0"/>
        <v>0</v>
      </c>
      <c r="M13" s="908">
        <f t="shared" si="0"/>
        <v>0</v>
      </c>
      <c r="N13" s="908">
        <f t="shared" si="0"/>
        <v>2426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302</v>
      </c>
      <c r="Z13" s="907">
        <f t="shared" si="2"/>
        <v>2245</v>
      </c>
      <c r="AA13" s="900">
        <f t="shared" si="2"/>
        <v>106</v>
      </c>
      <c r="AB13" s="900">
        <f t="shared" si="2"/>
        <v>0</v>
      </c>
      <c r="AC13" s="900">
        <f t="shared" si="2"/>
        <v>0</v>
      </c>
      <c r="AD13" s="900">
        <f t="shared" si="2"/>
        <v>0</v>
      </c>
      <c r="AE13" s="900">
        <f t="shared" si="2"/>
        <v>10612</v>
      </c>
      <c r="AF13" s="908">
        <f t="shared" si="2"/>
        <v>0</v>
      </c>
      <c r="AG13" s="908">
        <f t="shared" si="2"/>
        <v>0</v>
      </c>
      <c r="AH13" s="908">
        <f t="shared" si="2"/>
        <v>0</v>
      </c>
      <c r="AI13" s="908">
        <f t="shared" si="2"/>
        <v>0</v>
      </c>
      <c r="AJ13" s="908">
        <f t="shared" si="2"/>
        <v>2222</v>
      </c>
      <c r="AK13" s="908">
        <f t="shared" si="2"/>
        <v>4463</v>
      </c>
      <c r="AL13" s="908">
        <f t="shared" si="2"/>
        <v>0</v>
      </c>
      <c r="AM13" s="908">
        <f t="shared" si="2"/>
        <v>0</v>
      </c>
      <c r="AN13" s="908">
        <f t="shared" si="2"/>
        <v>0</v>
      </c>
      <c r="AO13" s="904">
        <f>IF(ISNUMBER(((NºAsuntos!I13/NºAsuntos!G13)*11)/factor_trimestre),((NºAsuntos!I13/NºAsuntos!G13)*11)/factor_trimestre," - ")</f>
        <v>6.7745030165166646</v>
      </c>
      <c r="AP13" s="910" t="str">
        <f>IF(ISNUMBER(Datos!CI13/Datos!CJ13),Datos!CI13/Datos!CJ13," - ")</f>
        <v xml:space="preserve"> - </v>
      </c>
      <c r="AQ13" s="928">
        <f t="shared" ref="AQ13:AV13" si="3">SUBTOTAL(9,AQ9:AQ12)</f>
        <v>0</v>
      </c>
      <c r="AR13" s="928">
        <f t="shared" si="3"/>
        <v>-5.1489043343952122E-2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2143</v>
      </c>
      <c r="G15" s="225">
        <f>IF(ISNUMBER(IF(D_I="SI",Datos!I15,Datos!I15+Datos!AC15)),IF(D_I="SI",Datos!I15,Datos!I15+Datos!AC15)," - ")</f>
        <v>2248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1039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8116</v>
      </c>
      <c r="Z15" s="619">
        <f>IF(ISNUMBER(Datos!Q15),Datos!Q15," - ")</f>
        <v>929</v>
      </c>
      <c r="AA15" s="332">
        <f>IF(ISNUMBER(IF(D_I="SI",Datos!L15,Datos!L15+Datos!AF15)),IF(D_I="SI",Datos!L15,Datos!L15+Datos!AF15)," - ")</f>
        <v>2425</v>
      </c>
      <c r="AB15" s="334"/>
      <c r="AC15" s="334"/>
      <c r="AD15" s="484"/>
      <c r="AE15" s="484">
        <f>IF(ISNUMBER(Datos!R15),Datos!R15," - ")</f>
        <v>547</v>
      </c>
      <c r="AF15" s="229" t="str">
        <f>IF(ISNUMBER(Datos!BV15),Datos!BV15," - ")</f>
        <v xml:space="preserve"> - </v>
      </c>
      <c r="AG15" s="225"/>
      <c r="AH15" s="298"/>
      <c r="AI15" s="227"/>
      <c r="AJ15" s="225">
        <f>IF(ISNUMBER(Datos!M15),Datos!M15," - ")</f>
        <v>1815</v>
      </c>
      <c r="AK15" s="229">
        <f>IF(ISNUMBER(Datos!N15),Datos!N15," - ")</f>
        <v>3239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3.2867175948743221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1749</v>
      </c>
      <c r="Z17" s="619">
        <f>IF(ISNUMBER(Datos!Q17),Datos!Q17," - ")</f>
        <v>39</v>
      </c>
      <c r="AA17" s="332">
        <f>IF(ISNUMBER(Datos!L17),Datos!L17,"-")</f>
        <v>399</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286</v>
      </c>
      <c r="AK17" s="229">
        <f>IF(ISNUMBER(Datos!N17),Datos!N17," - ")</f>
        <v>692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2.5094339622641511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2143</v>
      </c>
      <c r="G18" s="898">
        <f>SUBTOTAL(9,G15:G17)</f>
        <v>2646</v>
      </c>
      <c r="H18" s="932">
        <f>SUBTOTAL(9,H15:H17)</f>
        <v>0</v>
      </c>
      <c r="I18" s="911">
        <f>SUBTOTAL(9,I15:I17)</f>
        <v>0</v>
      </c>
      <c r="J18" s="867">
        <f>SUBTOTAL(9,J14:J17)</f>
        <v>0</v>
      </c>
      <c r="K18" s="932">
        <f t="shared" ref="K18:S18" si="4">SUBTOTAL(9,K15:K17)</f>
        <v>0</v>
      </c>
      <c r="L18" s="932">
        <f t="shared" si="4"/>
        <v>0</v>
      </c>
      <c r="M18" s="932">
        <f t="shared" si="4"/>
        <v>0</v>
      </c>
      <c r="N18" s="932">
        <f t="shared" si="4"/>
        <v>1089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9865</v>
      </c>
      <c r="Z18" s="932">
        <f t="shared" si="5"/>
        <v>968</v>
      </c>
      <c r="AA18" s="932">
        <f t="shared" si="5"/>
        <v>2824</v>
      </c>
      <c r="AB18" s="932">
        <f t="shared" si="5"/>
        <v>0</v>
      </c>
      <c r="AC18" s="932">
        <f t="shared" si="5"/>
        <v>0</v>
      </c>
      <c r="AD18" s="932">
        <f t="shared" si="5"/>
        <v>0</v>
      </c>
      <c r="AE18" s="932">
        <f t="shared" si="5"/>
        <v>570</v>
      </c>
      <c r="AF18" s="932">
        <f t="shared" si="5"/>
        <v>0</v>
      </c>
      <c r="AG18" s="932">
        <f t="shared" si="5"/>
        <v>0</v>
      </c>
      <c r="AH18" s="932">
        <f t="shared" si="5"/>
        <v>0</v>
      </c>
      <c r="AI18" s="932">
        <f t="shared" si="5"/>
        <v>0</v>
      </c>
      <c r="AJ18" s="932">
        <f t="shared" si="5"/>
        <v>2101</v>
      </c>
      <c r="AK18" s="932">
        <f t="shared" si="5"/>
        <v>3931</v>
      </c>
      <c r="AL18" s="932">
        <f t="shared" si="5"/>
        <v>0</v>
      </c>
      <c r="AM18" s="932">
        <f t="shared" si="5"/>
        <v>0</v>
      </c>
      <c r="AN18" s="932">
        <f t="shared" si="5"/>
        <v>0</v>
      </c>
      <c r="AO18" s="934">
        <f>IF(ISNUMBER(((NºAsuntos!I18/NºAsuntos!G18)*11)/factor_trimestre),((NºAsuntos!I18/NºAsuntos!G18)*11)/factor_trimestre," - ")</f>
        <v>3.1489102889001521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2249</v>
      </c>
      <c r="G19" s="820">
        <f t="shared" si="7"/>
        <v>2752</v>
      </c>
      <c r="H19" s="821">
        <f t="shared" si="7"/>
        <v>0</v>
      </c>
      <c r="I19" s="820">
        <f t="shared" si="7"/>
        <v>0</v>
      </c>
      <c r="J19" s="822">
        <f t="shared" si="7"/>
        <v>0</v>
      </c>
      <c r="K19" s="820">
        <f t="shared" si="7"/>
        <v>0</v>
      </c>
      <c r="L19" s="823">
        <f t="shared" si="7"/>
        <v>0</v>
      </c>
      <c r="M19" s="820">
        <f t="shared" si="7"/>
        <v>0</v>
      </c>
      <c r="N19" s="821">
        <f t="shared" si="7"/>
        <v>3515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10167</v>
      </c>
      <c r="Z19" s="827">
        <f t="shared" si="8"/>
        <v>3213</v>
      </c>
      <c r="AA19" s="828">
        <f t="shared" si="8"/>
        <v>2930</v>
      </c>
      <c r="AB19" s="828">
        <f t="shared" si="8"/>
        <v>0</v>
      </c>
      <c r="AC19" s="828">
        <f t="shared" si="8"/>
        <v>0</v>
      </c>
      <c r="AD19" s="829">
        <f t="shared" si="8"/>
        <v>0</v>
      </c>
      <c r="AE19" s="829">
        <f t="shared" si="8"/>
        <v>11182</v>
      </c>
      <c r="AF19" s="830">
        <f t="shared" si="8"/>
        <v>0</v>
      </c>
      <c r="AG19" s="831">
        <f t="shared" si="8"/>
        <v>0</v>
      </c>
      <c r="AH19" s="832">
        <f t="shared" si="8"/>
        <v>0</v>
      </c>
      <c r="AI19" s="830">
        <f t="shared" si="8"/>
        <v>0</v>
      </c>
      <c r="AJ19" s="820">
        <f t="shared" si="8"/>
        <v>4323</v>
      </c>
      <c r="AK19" s="820">
        <f t="shared" si="8"/>
        <v>8394</v>
      </c>
      <c r="AL19" s="820">
        <f t="shared" si="8"/>
        <v>0</v>
      </c>
      <c r="AM19" s="833">
        <f t="shared" si="8"/>
        <v>0</v>
      </c>
      <c r="AN19" s="823">
        <f>IF(ISNUMBER(Datos!K19/Datos!J19),Datos!K19/Datos!J19," - ")</f>
        <v>0.9399272441254547</v>
      </c>
      <c r="AO19" s="823">
        <f>IF(ISNUMBER(FIND("06",Criterios!A8,1)),(IF(ISNUMBER(((Datos!R19/Datos!Q19)*11)/factor_trimestre),((Datos!R19/Datos!Q19)*11)/factor_trimestre," - ")),(IF(ISNUMBER(((Datos!L19/Datos!K19)*11)/factor_trimestre),((Datos!L19/Datos!K19)*11)/factor_trimestre," - ")))</f>
        <v>5.052981171548117</v>
      </c>
      <c r="AP19" s="834" t="str">
        <f>IF(ISNUMBER(Datos!CI19/Datos!CJ19),Datos!CI19/Datos!CJ19," - ")</f>
        <v xml:space="preserve"> - </v>
      </c>
      <c r="AQ19" s="834">
        <f>IF(OR(ISNUMBER(FIND("01",Criterios!A8,1)),ISNUMBER(FIND("02",Criterios!A8,1)),ISNUMBER(FIND("03",Criterios!A8,1)),ISNUMBER(FIND("04",Criterios!A8,1))),(J19-Y19+K19)/(F19-K19),(I19-Y19+K19)/(F19-K19))</f>
        <v>-4.5206758559359717</v>
      </c>
      <c r="AR19" s="834">
        <f>IF(ISNUMBER((Datos!P19-Datos!Q19+O19)/(Datos!R19-Datos!P19+Datos!Q19-O19)),(Datos!P19-Datos!Q19+O19)/(Datos!R19-Datos!P19+Datos!Q19-O19)," - ")</f>
        <v>2.7757352941176469E-2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1176.0624983392677</v>
      </c>
      <c r="G21" s="552">
        <f>IF(ISNUMBER(STDEV(G8:G18)),STDEV(G8:G18),"-")</f>
        <v>1242.6677753929246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981.22209514462122</v>
      </c>
      <c r="AK21" s="252"/>
      <c r="AL21" s="252">
        <f>IF(ISNUMBER(STDEV(AL8:AL18)),STDEV(AL8:AL18),"-")</f>
        <v>0</v>
      </c>
      <c r="AM21" s="254">
        <f>IF(ISNUMBER(STDEV(AM8:AM18)),STDEV(AM8:AM18),"-")</f>
        <v>0</v>
      </c>
      <c r="AN21" s="539">
        <f>IF(ISNUMBER(STDEV(AN8:AN18)),STDEV(AN8:AN18),"-")</f>
        <v>0</v>
      </c>
      <c r="AO21" s="540">
        <f>IF(ISNUMBER(STDEV(AO8:AO18)),STDEV(AO8:AO18),"-")</f>
        <v>1.9172744787048932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W+FfNWbgE2EtyFeMQzZL3EKRPSH7v/ewfyjon5sxR2HPVedWAzlpTe2tWCHieWOXhWEn+n42NRrvKyxRd7wdbQ==" saltValue="ZCKHh82b28pOpLqkC3Z7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feIPSW8JdHdtigEqPh/Do4mTRQHEDdSv/qtzddi3dp5AWNPrwqSfgrRZOK3mXCqASGopD0+yhRpTStiKAJzfg==" saltValue="VOAIEzDX5YdGtGBCNChE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a0HvMTt7zzHXcNn0CcW6H4yXlHuxmgW5G/9n6623y0778osiW2+w2VPm7IMuvgRIVPlhEfFH6Fhj2vqLwJiw==" saltValue="NboN9a3vKrYqoZ5r6RVM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0.21976065671051331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0.15539425059801293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3YxqjW8xv8bWFlM5HCrD2ptc3IR2r9oMIKUTSZL1fuzLY0Qzx3CS2I/2j6hOy34t1Wa9qQrJTuZWGuJTfxhzKQ==" saltValue="zF54jIMh/icMwkfYvXMZ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HfNrlrRKqoLcW73FBWw81tyWF5SEZhMjZOhlBL7VZ9PxaF6JnAIqeohe0k6pBpV87vcqau+IxfBcx2Qk0UpA==" saltValue="o5Lt+KRnyS0cwWe/K64y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TORRENT</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5217</v>
      </c>
      <c r="D9" s="404">
        <f>IF(ISNUMBER(C9/Datos!BH9),C9/Datos!BH9," - ")</f>
        <v>869.5</v>
      </c>
      <c r="E9" s="403">
        <f>IF(ISNUMBER(IF(J_V="SI",Datos!J9,Datos!J9+Datos!Z9)),IF(J_V="SI",Datos!J9,Datos!J9+Datos!Z9)," - ")</f>
        <v>10752</v>
      </c>
      <c r="F9" s="404">
        <f>IF(ISNUMBER(E9/B9),E9/B9," - ")</f>
        <v>1792</v>
      </c>
      <c r="G9" s="403">
        <f>IF(ISNUMBER(IF(J_V="SI",Datos!K9,Datos!K9+Datos!AA9)),IF(J_V="SI",Datos!K9,Datos!K9+Datos!AA9)," - ")</f>
        <v>9809</v>
      </c>
      <c r="H9" s="404">
        <f>IF(ISNUMBER(G9/B9),G9/B9," - ")</f>
        <v>1634.8333333333333</v>
      </c>
      <c r="I9" s="403">
        <f>IF(ISNUMBER(IF(J_V="SI",Datos!L9,Datos!L9+Datos!AB9)),IF(J_V="SI",Datos!L9,Datos!L9+Datos!AB9)," - ")</f>
        <v>6121</v>
      </c>
      <c r="J9" s="404">
        <f>IF(ISNUMBER(I9/B9),I9/B9," - ")</f>
        <v>1020.1666666666666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106</v>
      </c>
      <c r="D10" s="404">
        <f>IF(ISNUMBER(C10/Datos!BH10),C10/Datos!BH10," - ")</f>
        <v>106</v>
      </c>
      <c r="E10" s="403">
        <f>IF(ISNUMBER(Datos!J10),Datos!J10," - ")</f>
        <v>302</v>
      </c>
      <c r="F10" s="404">
        <f>IF(ISNUMBER(E10/B10),E10/B10," - ")</f>
        <v>302</v>
      </c>
      <c r="G10" s="403">
        <f>IF(ISNUMBER(Datos!K10),Datos!K10," - ")</f>
        <v>302</v>
      </c>
      <c r="H10" s="404">
        <f>IF(ISNUMBER(G10/B10),G10/B10," - ")</f>
        <v>302</v>
      </c>
      <c r="I10" s="403">
        <f>IF(ISNUMBER(Datos!L10),Datos!L10," - ")</f>
        <v>106</v>
      </c>
      <c r="J10" s="404">
        <f>IF(ISNUMBER(I10/B10),I10/B10," - ")</f>
        <v>106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5323</v>
      </c>
      <c r="D13" s="850" t="str">
        <f>IF(ISNUMBER(C13/Datos!BI13),C13/Datos!BI13," - ")</f>
        <v xml:space="preserve"> - </v>
      </c>
      <c r="E13" s="849">
        <f>SUBTOTAL(9,E8:E12)</f>
        <v>11054</v>
      </c>
      <c r="F13" s="850">
        <f>IF(ISNUMBER(E13/B13),E13/B13," - ")</f>
        <v>1579.1428571428571</v>
      </c>
      <c r="G13" s="849">
        <f>SUBTOTAL(9,G8:G12)</f>
        <v>10111</v>
      </c>
      <c r="H13" s="850">
        <f>IF(ISNUMBER(G13/B13),G13/B13," - ")</f>
        <v>1444.4285714285713</v>
      </c>
      <c r="I13" s="849">
        <f>SUBTOTAL(9,I8:I12)</f>
        <v>6227</v>
      </c>
      <c r="J13" s="850">
        <f>IF(ISNUMBER(I13/B13),I13/B13," - ")</f>
        <v>889.57142857142856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2248</v>
      </c>
      <c r="D15" s="404">
        <f>IF(ISNUMBER(C15/Datos!BH15),C15/Datos!BH15," - ")</f>
        <v>749.33333333333337</v>
      </c>
      <c r="E15" s="403">
        <f>IF(ISNUMBER(IF(D_I="SI",Datos!J15,Datos!J15+Datos!AD15)),IF(D_I="SI",Datos!J15,Datos!J15+Datos!AD15)," - ")</f>
        <v>8398</v>
      </c>
      <c r="F15" s="404">
        <f>IF(ISNUMBER(E15/B15),E15/B15," - ")</f>
        <v>2799.3333333333335</v>
      </c>
      <c r="G15" s="403">
        <f>IF(ISNUMBER(IF(D_I="SI",Datos!K15,Datos!K15+Datos!AE15)),IF(D_I="SI",Datos!K15,Datos!K15+Datos!AE15)," - ")</f>
        <v>8116</v>
      </c>
      <c r="H15" s="404">
        <f>IF(ISNUMBER(G15/B15),G15/B15," - ")</f>
        <v>2705.3333333333335</v>
      </c>
      <c r="I15" s="403">
        <f>IF(ISNUMBER(IF(D_I="SI",Datos!L15,Datos!L15+Datos!AF15)),IF(D_I="SI",Datos!L15,Datos!L15+Datos!AF15)," - ")</f>
        <v>2425</v>
      </c>
      <c r="J15" s="404">
        <f>IF(ISNUMBER(I15/B15),I15/B15," - ")</f>
        <v>808.33333333333337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398</v>
      </c>
      <c r="D17" s="404">
        <f>IF(ISNUMBER(C17/Datos!BH17),C17/Datos!BH17," - ")</f>
        <v>398</v>
      </c>
      <c r="E17" s="403">
        <f>IF(ISNUMBER(IF(D_I="SI",Datos!J17,Datos!J17+Datos!AD17)),IF(D_I="SI",Datos!J17,Datos!J17+Datos!AD17)," - ")</f>
        <v>1747</v>
      </c>
      <c r="F17" s="404">
        <f>IF(ISNUMBER(E17/B17),E17/B17," - ")</f>
        <v>1747</v>
      </c>
      <c r="G17" s="403">
        <f>IF(ISNUMBER(IF(D_I="SI",Datos!K17,Datos!K17+Datos!AE17)),IF(D_I="SI",Datos!K17,Datos!K17+Datos!AE17)," - ")</f>
        <v>1749</v>
      </c>
      <c r="H17" s="404">
        <f>IF(ISNUMBER(G17/B17),G17/B17," - ")</f>
        <v>1749</v>
      </c>
      <c r="I17" s="403">
        <f>IF(ISNUMBER(IF(D_I="SI",Datos!L17,Datos!L17+Datos!AF17)),IF(D_I="SI",Datos!L17,Datos!L17+Datos!AF17)," - ")</f>
        <v>399</v>
      </c>
      <c r="J17" s="404">
        <f>IF(ISNUMBER(I17/B17),I17/B17," - ")</f>
        <v>399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2646</v>
      </c>
      <c r="D18" s="850" t="str">
        <f>IF(ISNUMBER(C18/Datos!BI18),C18/Datos!BI18," - ")</f>
        <v xml:space="preserve"> - </v>
      </c>
      <c r="E18" s="849">
        <f>SUBTOTAL(9,E14:E17)</f>
        <v>10145</v>
      </c>
      <c r="F18" s="850">
        <f>IF(ISNUMBER(E18/B18),E18/B18," - ")</f>
        <v>2536.25</v>
      </c>
      <c r="G18" s="849">
        <f>SUBTOTAL(9,G14:G17)</f>
        <v>9865</v>
      </c>
      <c r="H18" s="850">
        <f>IF(ISNUMBER(G18/B18),G18/B18," - ")</f>
        <v>2466.25</v>
      </c>
      <c r="I18" s="849">
        <f>SUBTOTAL(9,I14:I17)</f>
        <v>2824</v>
      </c>
      <c r="J18" s="850">
        <f>IF(ISNUMBER(I18/B18),I18/B18," - ")</f>
        <v>706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7969</v>
      </c>
      <c r="D19" s="795" t="str">
        <f>IF(ISNUMBER(C19/Datos!BI19),C19/Datos!BI19," - ")</f>
        <v xml:space="preserve"> - </v>
      </c>
      <c r="E19" s="794">
        <f>SUBTOTAL(9,E9:E18)</f>
        <v>21199</v>
      </c>
      <c r="F19" s="795">
        <f>IF(ISNUMBER(E19/B19),E19/B19," - ")</f>
        <v>2119.9</v>
      </c>
      <c r="G19" s="794">
        <f>SUBTOTAL(9,G9:G18)</f>
        <v>19976</v>
      </c>
      <c r="H19" s="795">
        <f>IF(ISNUMBER(G19/B19),G19/B19," - ")</f>
        <v>1997.6</v>
      </c>
      <c r="I19" s="794">
        <f>SUBTOTAL(9,I9:I18)</f>
        <v>9051</v>
      </c>
      <c r="J19" s="795">
        <f>IF(ISNUMBER(I19/B19),I19/B19," - ")</f>
        <v>905.1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KaMZU8rASkEB5j7oTTK3L561sAAeL5YVbYv6HiVkXFCpk+q3yELO695H9ut1TOz9kAPCoPdh+CrQTKCDzjh3Wg==" saltValue="VBJwhXss7RBDbzna/1h3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TORRENT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106</v>
      </c>
      <c r="G10" s="684">
        <f>IF(ISNUMBER(Datos!I10),Datos!I10," - ")</f>
        <v>106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302</v>
      </c>
      <c r="AC10" s="683" t="str">
        <f>IF(ISNUMBER(IF(D_I="SI",DatosP!K17,DatosP!K17+DatosP!AE17)),IF(D_I="SI",DatosP!K17,DatosP!K17+DatosP!AE17)," - ")</f>
        <v xml:space="preserve"> - </v>
      </c>
      <c r="AD10" s="685"/>
      <c r="AE10" s="685"/>
      <c r="AF10" s="688">
        <f>IF(ISNUMBER(Datos!L10),Datos!L10,"-")</f>
        <v>106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92</v>
      </c>
      <c r="AM10" s="690">
        <f>IF(ISNUMBER(Datos!N10+DatosP!N17),Datos!N10+DatosP!N17," - ")</f>
        <v>137</v>
      </c>
      <c r="AN10" s="690">
        <f>IF(ISNUMBER(Datos!BW10+DatosP!BW17),Datos!BW10+DatosP!BW17," - ")</f>
        <v>0</v>
      </c>
      <c r="AO10" s="691">
        <f>IF(ISNUMBER(Datos!BX10+DatosP!BX17),Datos!BX10+DatosP!BX17," - ")</f>
        <v>0</v>
      </c>
      <c r="AP10" s="693">
        <f>IF(ISNUMBER(((Datos!L10/Datos!K10)*11)/factor_trimestre),((Datos!L10/Datos!K10)*11)/factor_trimestre," - ")</f>
        <v>3.8609271523178812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106</v>
      </c>
      <c r="G13" s="938">
        <f t="shared" si="0"/>
        <v>106</v>
      </c>
      <c r="H13" s="938">
        <f t="shared" si="0"/>
        <v>0</v>
      </c>
      <c r="I13" s="940">
        <f t="shared" si="0"/>
        <v>0</v>
      </c>
      <c r="J13" s="939">
        <f t="shared" si="0"/>
        <v>0</v>
      </c>
      <c r="K13" s="939">
        <f t="shared" si="0"/>
        <v>0</v>
      </c>
      <c r="L13" s="941">
        <f t="shared" si="0"/>
        <v>0</v>
      </c>
      <c r="M13" s="941">
        <f t="shared" si="0"/>
        <v>0</v>
      </c>
      <c r="N13" s="939">
        <f t="shared" si="0"/>
        <v>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302</v>
      </c>
      <c r="AC13" s="939">
        <f t="shared" si="1"/>
        <v>0</v>
      </c>
      <c r="AD13" s="939">
        <f t="shared" si="1"/>
        <v>0</v>
      </c>
      <c r="AE13" s="939">
        <f t="shared" si="1"/>
        <v>0</v>
      </c>
      <c r="AF13" s="939">
        <f t="shared" si="1"/>
        <v>106</v>
      </c>
      <c r="AG13" s="939">
        <f t="shared" si="1"/>
        <v>0</v>
      </c>
      <c r="AH13" s="939">
        <f t="shared" si="1"/>
        <v>0</v>
      </c>
      <c r="AI13" s="939">
        <f t="shared" si="1"/>
        <v>0</v>
      </c>
      <c r="AJ13" s="939">
        <f t="shared" si="1"/>
        <v>0</v>
      </c>
      <c r="AK13" s="939">
        <f t="shared" si="1"/>
        <v>0</v>
      </c>
      <c r="AL13" s="939">
        <f t="shared" si="1"/>
        <v>92</v>
      </c>
      <c r="AM13" s="939">
        <f t="shared" si="1"/>
        <v>137</v>
      </c>
      <c r="AN13" s="939">
        <f t="shared" si="1"/>
        <v>0</v>
      </c>
      <c r="AO13" s="939">
        <f t="shared" si="1"/>
        <v>0</v>
      </c>
      <c r="AP13" s="944">
        <f>IF(ISNUMBER(((Datos!L13/Datos!K13)*11)/factor_trimestre),((Datos!L13/Datos!K13)*11)/factor_trimestre," - ")</f>
        <v>7.0825499729875743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-2.8490566037735849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3.1489102889001521</v>
      </c>
      <c r="AQ18" s="944">
        <f>IF(ISNUMBER(((Datos!M18/Datos!L18)*11)/factor_trimestre),((Datos!M18/Datos!L18)*11)/factor_trimestre," - ")</f>
        <v>8.1837818696883851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0.26948775055679286</v>
      </c>
      <c r="AW18" s="946">
        <f>IF(ISNUMBER((Datos!Q18-Datos!R18)/(Datos!S18-Datos!Q18+Datos!R18)),(Datos!Q18-Datos!R18)/(Datos!S18-Datos!Q18+Datos!R18)," - ")</f>
        <v>0.18835778513961193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106</v>
      </c>
      <c r="G19" s="951">
        <f t="shared" si="4"/>
        <v>106</v>
      </c>
      <c r="H19" s="951">
        <f t="shared" si="4"/>
        <v>0</v>
      </c>
      <c r="I19" s="952">
        <f t="shared" si="4"/>
        <v>0</v>
      </c>
      <c r="J19" s="953">
        <f t="shared" si="4"/>
        <v>0</v>
      </c>
      <c r="K19" s="953">
        <f t="shared" si="4"/>
        <v>0</v>
      </c>
      <c r="L19" s="953">
        <f t="shared" si="4"/>
        <v>0</v>
      </c>
      <c r="M19" s="953">
        <f t="shared" si="4"/>
        <v>0</v>
      </c>
      <c r="N19" s="952">
        <f t="shared" si="4"/>
        <v>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302</v>
      </c>
      <c r="AC19" s="957">
        <f t="shared" si="5"/>
        <v>0</v>
      </c>
      <c r="AD19" s="957">
        <f t="shared" si="5"/>
        <v>0</v>
      </c>
      <c r="AE19" s="957">
        <f t="shared" si="5"/>
        <v>0</v>
      </c>
      <c r="AF19" s="958">
        <f t="shared" si="5"/>
        <v>106</v>
      </c>
      <c r="AG19" s="958">
        <f t="shared" si="5"/>
        <v>0</v>
      </c>
      <c r="AH19" s="958">
        <f t="shared" si="5"/>
        <v>0</v>
      </c>
      <c r="AI19" s="958">
        <f t="shared" si="5"/>
        <v>0</v>
      </c>
      <c r="AJ19" s="959">
        <f t="shared" si="5"/>
        <v>0</v>
      </c>
      <c r="AK19" s="959">
        <f t="shared" si="5"/>
        <v>0</v>
      </c>
      <c r="AL19" s="951">
        <f t="shared" si="5"/>
        <v>92</v>
      </c>
      <c r="AM19" s="951">
        <f t="shared" si="5"/>
        <v>137</v>
      </c>
      <c r="AN19" s="951">
        <f t="shared" si="5"/>
        <v>0</v>
      </c>
      <c r="AO19" s="951">
        <f t="shared" si="5"/>
        <v>0</v>
      </c>
      <c r="AP19" s="951">
        <f>IF(ISNUMBER(((Datos!L19/Datos!K19)*11)/factor_trimestre),((Datos!L19/Datos!K19)*11)/factor_trimestre," - ")</f>
        <v>5.052981171548117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-2.8490566037735849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2.7757352941176469E-2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61.199128534100332</v>
      </c>
      <c r="G21" s="737">
        <f>IF(ISNUMBER(STDEV(G8:G18)),STDEV(G8:G18),"-")</f>
        <v>61.199128534100332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174.359781295267</v>
      </c>
      <c r="AC21" s="738">
        <f>IF(ISNUMBER(STDEV(AC8:AC18)),STDEV(AC8:AC18),"-")</f>
        <v>0</v>
      </c>
      <c r="AD21" s="741"/>
      <c r="AE21" s="741"/>
      <c r="AF21" s="741"/>
      <c r="AG21" s="741"/>
      <c r="AH21" s="741"/>
      <c r="AI21" s="741"/>
      <c r="AJ21" s="742">
        <f>IF(ISNUMBER(STDEV(AJ8:AJ18)),STDEV(AJ8:AJ18),"-")</f>
        <v>0</v>
      </c>
      <c r="AK21" s="744"/>
      <c r="AL21" s="736">
        <f>IF(ISNUMBER(STDEV(AL8:AL18)),STDEV(AL8:AL18),"-")</f>
        <v>53.116224765445565</v>
      </c>
      <c r="AM21" s="736"/>
      <c r="AN21" s="736">
        <f>IF(ISNUMBER(STDEV(AN8:AN18)),STDEV(AN8:AN18),"-")</f>
        <v>0</v>
      </c>
      <c r="AO21" s="742">
        <f>IF(ISNUMBER(STDEV(AO8:AO18)),STDEV(AO8:AO18),"-")</f>
        <v>0</v>
      </c>
      <c r="AP21" s="779">
        <f>IF(ISNUMBER(STDEV(AP8:AP18)),STDEV(AP8:AP18),"-")</f>
        <v>2.0960018597589687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YnW1aAZYy6DmpakW3qpWGk/gWwSXEhoJCc0SRIQXtylqhHCn9UliE8w5g+t9aGJeLIQ+uF/ZLTcdDYrx8/AZsA==" saltValue="7wnAebYNackjyXSKWgaw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TORRENT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WGUo4g9Q6uWt3woNQcZCcV7W0qbM8S4Bxlbk8ZP5BXs1Ynq17/Hz/GYE5xyDZvSmi3m2JynErY3in5iZ7f9nMg==" saltValue="Pmrvf2nF10DMc8pBgwS1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TORRENT</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2130</v>
      </c>
      <c r="E9" s="404">
        <f t="shared" ref="E9:E13" si="0">IF(ISNUMBER(D9/B9),D9/B9," - ")</f>
        <v>355</v>
      </c>
      <c r="F9" s="403">
        <f>IF(ISNUMBER(Datos!N9),Datos!N9," - ")</f>
        <v>4326</v>
      </c>
      <c r="G9" s="404">
        <f t="shared" ref="G9:G13" si="1">IF(ISNUMBER(F9/B9),F9/B9," - ")</f>
        <v>721</v>
      </c>
      <c r="H9" s="403">
        <f>IF(ISNUMBER(Datos!O9),Datos!O9," - ")</f>
        <v>4854</v>
      </c>
      <c r="I9" s="404">
        <f>IF(ISNUMBER(H9/B9),H9/B9," - ")</f>
        <v>809</v>
      </c>
      <c r="BZ9" s="1186">
        <f>Datos!EZ9</f>
        <v>0</v>
      </c>
    </row>
    <row r="10" spans="1:78">
      <c r="A10" s="402" t="str">
        <f>Datos!A10</f>
        <v>Jdos. Violencia contra la mujer</v>
      </c>
      <c r="B10" s="427">
        <f>Datos!AO10</f>
        <v>1</v>
      </c>
      <c r="C10" s="410">
        <f>Datos!AQ10</f>
        <v>1</v>
      </c>
      <c r="D10" s="403">
        <f>IF(ISNUMBER(Datos!M10),Datos!M10," - ")</f>
        <v>92</v>
      </c>
      <c r="E10" s="404">
        <f>IF(ISNUMBER(D10/B10),D10/B10," - ")</f>
        <v>92</v>
      </c>
      <c r="F10" s="403">
        <f>IF(ISNUMBER(Datos!N10),Datos!N10," - ")</f>
        <v>137</v>
      </c>
      <c r="G10" s="404">
        <f>IF(ISNUMBER(F10/B10),F10/B10," - ")</f>
        <v>137</v>
      </c>
      <c r="H10" s="403">
        <f>IF(ISNUMBER(Datos!O10),Datos!O10," - ")</f>
        <v>71</v>
      </c>
      <c r="I10" s="404">
        <f t="shared" ref="I10:I12" si="2">IF(ISNUMBER(H10/B10),H10/B10," - ")</f>
        <v>71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2222</v>
      </c>
      <c r="E13" s="850">
        <f t="shared" si="0"/>
        <v>317.42857142857144</v>
      </c>
      <c r="F13" s="849">
        <f>SUBTOTAL(9,F9:F12)</f>
        <v>4463</v>
      </c>
      <c r="G13" s="850">
        <f t="shared" si="1"/>
        <v>637.57142857142856</v>
      </c>
      <c r="H13" s="849">
        <f>SUBTOTAL(9,H9:H12)</f>
        <v>4925</v>
      </c>
      <c r="I13" s="850">
        <f>IF(ISNUMBER(H13/B13),H13/B13," - ")</f>
        <v>703.57142857142856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1815</v>
      </c>
      <c r="E15" s="404">
        <f t="shared" ref="E15:E18" si="3">IF(ISNUMBER(D15/B15),D15/B15," - ")</f>
        <v>605</v>
      </c>
      <c r="F15" s="403">
        <f>IF(ISNUMBER(Datos!N15),Datos!N15," - ")</f>
        <v>3239</v>
      </c>
      <c r="G15" s="404">
        <f t="shared" ref="G15:G18" si="4">IF(ISNUMBER(F15/B15),F15/B15," - ")</f>
        <v>1079.6666666666667</v>
      </c>
      <c r="H15" s="403">
        <f>IF(ISNUMBER(Datos!O15),Datos!O15," - ")</f>
        <v>357</v>
      </c>
      <c r="I15" s="404">
        <f t="shared" ref="I15:I17" si="5">IF(ISNUMBER(H15/B15),H15/B15," - ")</f>
        <v>119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286</v>
      </c>
      <c r="E17" s="404">
        <f>IF(ISNUMBER(D17/B17),D17/B17," - ")</f>
        <v>286</v>
      </c>
      <c r="F17" s="403">
        <f>IF(ISNUMBER(Datos!N17),Datos!N17," - ")</f>
        <v>692</v>
      </c>
      <c r="G17" s="404">
        <f>IF(ISNUMBER(F17/B17),F17/B17," - ")</f>
        <v>692</v>
      </c>
      <c r="H17" s="403">
        <f>IF(ISNUMBER(Datos!O17),Datos!O17," - ")</f>
        <v>28</v>
      </c>
      <c r="I17" s="404">
        <f t="shared" si="5"/>
        <v>28</v>
      </c>
      <c r="BZ17" s="1186">
        <f>Datos!EZ17</f>
        <v>0</v>
      </c>
    </row>
    <row r="18" spans="1:78" ht="14.25" thickTop="1" thickBot="1">
      <c r="A18" s="848" t="str">
        <f>Datos!A18</f>
        <v>TOTAL</v>
      </c>
      <c r="B18" s="849">
        <f>Datos!AP18</f>
        <v>4</v>
      </c>
      <c r="C18" s="851">
        <f>Datos!AR18</f>
        <v>4</v>
      </c>
      <c r="D18" s="849">
        <f>SUBTOTAL(9,D15:D17)</f>
        <v>2101</v>
      </c>
      <c r="E18" s="850">
        <f t="shared" si="3"/>
        <v>525.25</v>
      </c>
      <c r="F18" s="849">
        <f>SUBTOTAL(9,F15:F17)</f>
        <v>3931</v>
      </c>
      <c r="G18" s="850">
        <f t="shared" si="4"/>
        <v>982.75</v>
      </c>
      <c r="H18" s="849">
        <f>SUBTOTAL(9,H15:H17)</f>
        <v>385</v>
      </c>
      <c r="I18" s="850">
        <f>IF(ISNUMBER(H18/B18),H18/B18," - ")</f>
        <v>96.25</v>
      </c>
      <c r="BZ18" s="1186"/>
    </row>
    <row r="19" spans="1:78" ht="14.25" thickTop="1" thickBot="1">
      <c r="A19" s="793" t="str">
        <f>Datos!A19</f>
        <v>TOTAL JURISDICCIONES</v>
      </c>
      <c r="B19" s="794">
        <f>Datos!AP19</f>
        <v>10</v>
      </c>
      <c r="C19" s="794">
        <f>Datos!AR19</f>
        <v>10</v>
      </c>
      <c r="D19" s="794">
        <f>SUBTOTAL(9,D8:D18)</f>
        <v>4323</v>
      </c>
      <c r="E19" s="795">
        <f>IF(ISNUMBER(D19/B19),D19/B19," - ")</f>
        <v>432.3</v>
      </c>
      <c r="F19" s="794">
        <f>SUBTOTAL(9,F8:F18)</f>
        <v>8394</v>
      </c>
      <c r="G19" s="795">
        <f>IF(ISNUMBER(F19/B19),F19/B19," - ")</f>
        <v>839.4</v>
      </c>
      <c r="H19" s="794">
        <f>SUBTOTAL(9,H8:H18)</f>
        <v>5310</v>
      </c>
      <c r="I19" s="795">
        <f>IF(ISNUMBER(H19/B19),H19/B19," - ")</f>
        <v>531</v>
      </c>
    </row>
    <row r="22" spans="1:78">
      <c r="A22" s="391" t="str">
        <f>Criterios!A4</f>
        <v>Fecha Informe: 28 feb. 2025</v>
      </c>
    </row>
    <row r="27" spans="1:78">
      <c r="A27" s="414"/>
    </row>
  </sheetData>
  <sheetProtection algorithmName="SHA-512" hashValue="m7drnubJO6ctfTJ90IeW4Jm+dW+fV/D+p6yZYN6qPOnSCh3me3RAgRcHXrbF+4+mp8txArDGQnYBPYQb3dI71g==" saltValue="s9MWukM3sVmdmx7gvUSX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TORRENT</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2386</v>
      </c>
      <c r="C9" s="434">
        <f>IF(ISNUMBER(Datos!Q9),Datos!Q9," - ")</f>
        <v>2200</v>
      </c>
      <c r="D9" s="408">
        <f>IF(ISNUMBER(Datos!R9),Datos!R9," - ")</f>
        <v>10545</v>
      </c>
    </row>
    <row r="10" spans="1:4">
      <c r="A10" s="402" t="str">
        <f>Datos!A10</f>
        <v>Jdos. Violencia contra la mujer</v>
      </c>
      <c r="B10" s="433">
        <f>IF(ISNUMBER(Datos!P10),Datos!P10," - ")</f>
        <v>40</v>
      </c>
      <c r="C10" s="434">
        <f>IF(ISNUMBER(Datos!Q10),Datos!Q10," - ")</f>
        <v>45</v>
      </c>
      <c r="D10" s="408">
        <f>IF(ISNUMBER(Datos!R10),Datos!R10," - ")</f>
        <v>67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2426</v>
      </c>
      <c r="C13" s="853">
        <f>SUBTOTAL(9,C9:C12)</f>
        <v>2245</v>
      </c>
      <c r="D13" s="851">
        <f>SUBTOTAL(9,D9:D12)</f>
        <v>10612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1039</v>
      </c>
      <c r="C15" s="434">
        <f>IF(ISNUMBER(Datos!Q15),Datos!Q15," - ")</f>
        <v>929</v>
      </c>
      <c r="D15" s="408">
        <f>IF(ISNUMBER(Datos!R15),Datos!R15," - ")</f>
        <v>547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50</v>
      </c>
      <c r="C17" s="434">
        <f>IF(ISNUMBER(Datos!Q17),Datos!Q17," - ")</f>
        <v>39</v>
      </c>
      <c r="D17" s="408">
        <f>IF(ISNUMBER(Datos!R17),Datos!R17," - ")</f>
        <v>23</v>
      </c>
    </row>
    <row r="18" spans="1:4" ht="14.25" thickTop="1" thickBot="1">
      <c r="A18" s="848" t="str">
        <f>Datos!A18</f>
        <v>TOTAL</v>
      </c>
      <c r="B18" s="849">
        <f>SUBTOTAL(9,B15:B17)</f>
        <v>1089</v>
      </c>
      <c r="C18" s="853">
        <f>SUBTOTAL(9,C15:C17)</f>
        <v>968</v>
      </c>
      <c r="D18" s="851">
        <f>SUBTOTAL(9,D15:D17)</f>
        <v>570</v>
      </c>
    </row>
    <row r="19" spans="1:4" ht="16.5" customHeight="1" thickTop="1" thickBot="1">
      <c r="A19" s="793" t="str">
        <f>Datos!A19</f>
        <v>TOTAL JURISDICCIONES</v>
      </c>
      <c r="B19" s="798">
        <f>SUBTOTAL(9,B8:B18)</f>
        <v>3515</v>
      </c>
      <c r="C19" s="799">
        <f>SUBTOTAL(9,C8:C18)</f>
        <v>3213</v>
      </c>
      <c r="D19" s="800">
        <f>SUBTOTAL(9,D8:D18)</f>
        <v>11182</v>
      </c>
    </row>
    <row r="20" spans="1:4" ht="7.5" customHeight="1"/>
    <row r="21" spans="1:4" ht="6" customHeight="1"/>
    <row r="22" spans="1:4">
      <c r="A22" s="391" t="str">
        <f>Criterios!A4</f>
        <v>Fecha Informe: 28 feb. 2025</v>
      </c>
    </row>
    <row r="27" spans="1:4">
      <c r="A27" s="414"/>
    </row>
  </sheetData>
  <sheetProtection algorithmName="SHA-512" hashValue="9ZOOXQ8Uh1cDcf9HmY5ENZs/7/yueCmWNjhwSqu61C/5hlwi9crGPk0iLyyiUMR4MRiphZxf6ceeGMMTNAHTzw==" saltValue="1zCWI2YW5I9uat+e4QeY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TORRENT</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0.11832797427652733</v>
      </c>
      <c r="C9" s="456">
        <f>IF(ISNUMBER(
   IF(J_V="SI",(Datos!J9-Datos!T9)/Datos!T9,(Datos!J9+Datos!Z9-(Datos!T9+Datos!AH9))/(Datos!T9+Datos!AH9))
     ),IF(J_V="SI",(Datos!J9-Datos!T9)/Datos!T9,(Datos!J9+Datos!Z9-(Datos!T9+Datos!AH9))/(Datos!T9+Datos!AH9))," - ")</f>
        <v>1.3479121500612687E-2</v>
      </c>
      <c r="D9" s="456">
        <f>IF(ISNUMBER(
   IF(J_V="SI",(Datos!K9-Datos!U9)/Datos!U9,(Datos!K9+Datos!AA9-(Datos!U9+Datos!AI9))/(Datos!U9+Datos!AI9))
     ),IF(J_V="SI",(Datos!K9-Datos!U9)/Datos!U9,(Datos!K9+Datos!AA9-(Datos!U9+Datos!AI9))/(Datos!U9+Datos!AI9))," - ")</f>
        <v>-2.7463811223478088E-2</v>
      </c>
      <c r="E9" s="456">
        <f>IF(ISNUMBER(
   IF(J_V="SI",(Datos!L9-Datos!V9)/Datos!V9,(Datos!L9+Datos!AB9-(Datos!V9+Datos!AJ9))/(Datos!V9+Datos!AJ9))
     ),IF(J_V="SI",(Datos!L9-Datos!V9)/Datos!V9,(Datos!L9+Datos!AB9-(Datos!V9+Datos!AJ9))/(Datos!V9+Datos!AJ9))," - ")</f>
        <v>0.17327966264136477</v>
      </c>
      <c r="F9" s="456">
        <f>IF(ISNUMBER((Datos!M9-Datos!W9)/Datos!W9),(Datos!M9-Datos!W9)/Datos!W9," - ")</f>
        <v>3.0478955007256895E-2</v>
      </c>
      <c r="G9" s="457">
        <f>IF(ISNUMBER((Datos!N9-Datos!X9)/Datos!X9),(Datos!N9-Datos!X9)/Datos!X9," - ")</f>
        <v>-3.2863849765258218E-2</v>
      </c>
      <c r="H9" s="455">
        <f>IF(ISNUMBER(((NºAsuntos!G9/NºAsuntos!E9)-Datos!BD9)/Datos!BD9),((NºAsuntos!G9/NºAsuntos!E9)-Datos!BD9)/Datos!BD9," - ")</f>
        <v>-4.0398397811558774E-2</v>
      </c>
      <c r="I9" s="456">
        <f>IF(ISNUMBER(((NºAsuntos!I9/NºAsuntos!G9)-Datos!BE9)/Datos!BE9),((NºAsuntos!I9/NºAsuntos!G9)-Datos!BE9)/Datos!BE9," - ")</f>
        <v>0.20641234350094867</v>
      </c>
      <c r="J9" s="461">
        <f>IF(ISNUMBER((('Resol  Asuntos'!D9/NºAsuntos!G9)-Datos!BF9)/Datos!BF9),(('Resol  Asuntos'!D9/NºAsuntos!G9)-Datos!BF9)/Datos!BF9," - ")</f>
        <v>-0.51036220380699937</v>
      </c>
      <c r="K9" s="462">
        <f>IF(ISNUMBER((((NºAsuntos!C9+NºAsuntos!E9)/NºAsuntos!G9)-Datos!BG9)/Datos!BG9),(((NºAsuntos!C9+NºAsuntos!E9)/NºAsuntos!G9)-Datos!BG9)/Datos!BG9," - ")</f>
        <v>7.5026484977913935E-2</v>
      </c>
    </row>
    <row r="10" spans="1:11">
      <c r="A10" s="402" t="str">
        <f>Datos!A10</f>
        <v>Jdos. Violencia contra la mujer</v>
      </c>
      <c r="B10" s="455">
        <f>IF(ISNUMBER((Datos!I10-Datos!S10)/Datos!S10),(Datos!I10-Datos!S10)/Datos!S10," - ")</f>
        <v>0.11578947368421053</v>
      </c>
      <c r="C10" s="456">
        <f>IF(ISNUMBER((Datos!J10-Datos!T10)/Datos!T10),(Datos!J10-Datos!T10)/Datos!T10," - ")</f>
        <v>0.13533834586466165</v>
      </c>
      <c r="D10" s="456">
        <f>IF(ISNUMBER((Datos!K10-Datos!U10)/Datos!U10),(Datos!K10-Datos!U10)/Datos!U10," - ")</f>
        <v>0.41121495327102803</v>
      </c>
      <c r="E10" s="456">
        <f>IF(ISNUMBER((Datos!L10-Datos!V10)/Datos!V10),(Datos!L10-Datos!V10)/Datos!V10," - ")</f>
        <v>0</v>
      </c>
      <c r="F10" s="456">
        <f>IF(ISNUMBER((Datos!M10-Datos!W10)/Datos!W10),(Datos!M10-Datos!W10)/Datos!W10," - ")</f>
        <v>0.58620689655172409</v>
      </c>
      <c r="G10" s="457">
        <f>IF(ISNUMBER((Datos!N10-Datos!X10)/Datos!X10),(Datos!N10-Datos!X10)/Datos!X10," - ")</f>
        <v>0.24545454545454545</v>
      </c>
      <c r="H10" s="455">
        <f>IF(ISNUMBER(((NºAsuntos!G10/NºAsuntos!E10)-Datos!BD10)/Datos!BD10),((NºAsuntos!G10/NºAsuntos!E10)-Datos!BD10)/Datos!BD10," - ")</f>
        <v>0.24299065420560745</v>
      </c>
      <c r="I10" s="456">
        <f>IF(ISNUMBER(((NºAsuntos!I10/NºAsuntos!G10)-Datos!BE10)/Datos!BE10),((NºAsuntos!I10/NºAsuntos!G10)-Datos!BE10)/Datos!BE10," - ")</f>
        <v>-0.29139072847682118</v>
      </c>
      <c r="J10" s="461">
        <f>IF(ISNUMBER((('Resol  Asuntos'!D10/NºAsuntos!G10)-Datos!BF10)/Datos!BF10),(('Resol  Asuntos'!D10/NºAsuntos!G10)-Datos!BF10)/Datos!BF10," - ")</f>
        <v>0.12400091345055959</v>
      </c>
      <c r="K10" s="462">
        <f>IF(ISNUMBER((((NºAsuntos!C10+NºAsuntos!E10)/NºAsuntos!G10)-Datos!BG10)/Datos!BG10),(((NºAsuntos!C10+NºAsuntos!E10)/NºAsuntos!G10)-Datos!BG10)/Datos!BG10," - ")</f>
        <v>-0.19913411971895581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0.11827731092436974</v>
      </c>
      <c r="C13" s="855">
        <f>IF(ISNUMBER(
   IF(J_V="SI",(Datos!J13-Datos!T13)/Datos!T13,(Datos!J13+Datos!Z13-(Datos!T13+Datos!AH13))/(Datos!T13+Datos!AH13))
     ),IF(J_V="SI",(Datos!J13-Datos!T13)/Datos!T13,(Datos!J13+Datos!Z13-(Datos!T13+Datos!AH13))/(Datos!T13+Datos!AH13))," - ")</f>
        <v>1.645977011494253E-2</v>
      </c>
      <c r="D13" s="855">
        <f>IF(ISNUMBER(
   IF(J_V="SI",(Datos!K13-Datos!U13)/Datos!U13,(Datos!K13+Datos!AA13-(Datos!U13+Datos!AI13))/(Datos!U13+Datos!AI13))
     ),IF(J_V="SI",(Datos!K13-Datos!U13)/Datos!U13,(Datos!K13+Datos!AA13-(Datos!U13+Datos!AI13))/(Datos!U13+Datos!AI13))," - ")</f>
        <v>-1.8349514563106795E-2</v>
      </c>
      <c r="E13" s="855">
        <f>IF(ISNUMBER(
   IF(J_V="SI",(Datos!L13-Datos!V13)/Datos!V13,(Datos!L13+Datos!AB13-(Datos!V13+Datos!AJ13))/(Datos!V13+Datos!AJ13))
     ),IF(J_V="SI",(Datos!L13-Datos!V13)/Datos!V13,(Datos!L13+Datos!AB13-(Datos!V13+Datos!AJ13))/(Datos!V13+Datos!AJ13))," - ")</f>
        <v>0.16982904377230884</v>
      </c>
      <c r="F13" s="856">
        <f>IF(ISNUMBER((Datos!M13-Datos!W13)/Datos!W13),(Datos!M13-Datos!W13)/Datos!W13," - ")</f>
        <v>4.5647058823529409E-2</v>
      </c>
      <c r="G13" s="857">
        <f>IF(ISNUMBER((Datos!N13-Datos!X13)/Datos!X13),(Datos!N13-Datos!X13)/Datos!X13," - ")</f>
        <v>-2.6183722452542003E-2</v>
      </c>
      <c r="H13" s="857">
        <f>IF(ISNUMBER(((NºAsuntos!G13/NºAsuntos!E13)-Datos!BD13)/Datos!BD13),((NºAsuntos!G13/NºAsuntos!E13)-Datos!BD13)/Datos!BD13," - ")</f>
        <v>-3.4245609813080106E-2</v>
      </c>
      <c r="I13" s="857">
        <f>IF(ISNUMBER(((NºAsuntos!I13/NºAsuntos!G13)-Datos!BE13)/Datos!BE13),((NºAsuntos!I13/NºAsuntos!G13)-Datos!BE13)/Datos!BE13," - ")</f>
        <v>0.19169608850309378</v>
      </c>
      <c r="J13" s="857">
        <f>IF(ISNUMBER((('Resol  Asuntos'!D13/NºAsuntos!G13)-Datos!BF13)/Datos!BF13),(('Resol  Asuntos'!D13/NºAsuntos!G13)-Datos!BF13)/Datos!BF13," - ")</f>
        <v>-0.50043373115906264</v>
      </c>
      <c r="K13" s="857">
        <f>IF(ISNUMBER((((NºAsuntos!C13+NºAsuntos!E13)/NºAsuntos!G13)-Datos!BG13)/Datos!BG13),(((NºAsuntos!C13+NºAsuntos!E13)/NºAsuntos!G13)-Datos!BG13)/Datos!BG13," - ")</f>
        <v>6.7037242540009381E-2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9.0203685741998066E-2</v>
      </c>
      <c r="C15" s="456">
        <f>IF(ISNUMBER(
   IF(D_I="SI",(Datos!J15-Datos!T15)/Datos!T15,(Datos!J15+Datos!AD15-(Datos!T15+Datos!AL15))/(Datos!T15+Datos!AL15))
     ),IF(D_I="SI",(Datos!J15-Datos!T15)/Datos!T15,(Datos!J15+Datos!AD15-(Datos!T15+Datos!AL15))/(Datos!T15+Datos!AL15))," - ")</f>
        <v>-5.3959671060042805E-2</v>
      </c>
      <c r="D15" s="456">
        <f>IF(ISNUMBER(
   IF(D_I="SI",(Datos!K15-Datos!U15)/Datos!U15,(Datos!K15+Datos!AE15-(Datos!U15+Datos!AM15))/(Datos!U15+Datos!AM15))
     ),IF(D_I="SI",(Datos!K15-Datos!U15)/Datos!U15,(Datos!K15+Datos!AE15-(Datos!U15+Datos!AM15))/(Datos!U15+Datos!AM15))," - ")</f>
        <v>-6.8197474167623423E-2</v>
      </c>
      <c r="E15" s="456">
        <f>IF(ISNUMBER(
   IF(D_I="SI",(Datos!L15-Datos!V15)/Datos!V15,(Datos!L15+Datos!AF15-(Datos!V15+Datos!AN15))/(Datos!V15+Datos!AN15))
     ),IF(D_I="SI",(Datos!L15-Datos!V15)/Datos!V15,(Datos!L15+Datos!AF15-(Datos!V15+Datos!AN15))/(Datos!V15+Datos!AN15))," - ")</f>
        <v>7.8736654804270459E-2</v>
      </c>
      <c r="F15" s="456">
        <f>IF(ISNUMBER((Datos!M15-Datos!W15)/Datos!W15),(Datos!M15-Datos!W15)/Datos!W15," - ")</f>
        <v>-3.7135278514588858E-2</v>
      </c>
      <c r="G15" s="457">
        <f>IF(ISNUMBER((Datos!N15-Datos!X15)/Datos!X15),(Datos!N15-Datos!X15)/Datos!X15," - ")</f>
        <v>-0.15738813735691987</v>
      </c>
      <c r="H15" s="455">
        <f>IF(ISNUMBER(((NºAsuntos!G15/NºAsuntos!E15)-Datos!BD15)/Datos!BD15),((NºAsuntos!G15/NºAsuntos!E15)-Datos!BD15)/Datos!BD15," - ")</f>
        <v>-1.5049890234102576E-2</v>
      </c>
      <c r="I15" s="456">
        <f>IF(ISNUMBER(((NºAsuntos!I15/NºAsuntos!G15)-Datos!BE15)/Datos!BE15),((NºAsuntos!I15/NºAsuntos!G15)-Datos!BE15)/Datos!BE15," - ")</f>
        <v>0.15768805610463218</v>
      </c>
      <c r="J15" s="461">
        <f>IF(ISNUMBER((('Resol  Asuntos'!D15/NºAsuntos!G15)-Datos!BF15)/Datos!BF15),(('Resol  Asuntos'!D15/NºAsuntos!G15)-Datos!BF15)/Datos!BF15," - ")</f>
        <v>3.3335599327000004E-2</v>
      </c>
      <c r="K15" s="462">
        <f>IF(ISNUMBER((((NºAsuntos!C15+NºAsuntos!E15)/NºAsuntos!G15)-Datos!BG15)/Datos!BG15),(((NºAsuntos!C15+NºAsuntos!E15)/NºAsuntos!G15)-Datos!BG15)/Datos!BG15," - ")</f>
        <v>4.4443511311055825E-2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-0.11358574610244988</v>
      </c>
      <c r="C17" s="456">
        <f>IF(ISNUMBER(
   IF(D_I="SI",(Datos!J17-Datos!T17)/Datos!T17,(Datos!J17+Datos!AD17-(Datos!T17+Datos!AL17))/(Datos!T17+Datos!AL17))
     ),IF(D_I="SI",(Datos!J17-Datos!T17)/Datos!T17,(Datos!J17+Datos!AD17-(Datos!T17+Datos!AL17))/(Datos!T17+Datos!AL17))," - ")</f>
        <v>0.11415816326530612</v>
      </c>
      <c r="D17" s="456">
        <f>IF(ISNUMBER(
   IF(D_I="SI",(Datos!K17-Datos!U17)/Datos!U17,(Datos!K17+Datos!AE17-(Datos!U17+Datos!AM17))/(Datos!U17+Datos!AM17))
     ),IF(D_I="SI",(Datos!K17-Datos!U17)/Datos!U17,(Datos!K17+Datos!AE17-(Datos!U17+Datos!AM17))/(Datos!U17+Datos!AM17))," - ")</f>
        <v>8.4987593052109178E-2</v>
      </c>
      <c r="E17" s="456">
        <f>IF(ISNUMBER(
   IF(D_I="SI",(Datos!L17-Datos!V17)/Datos!V17,(Datos!L17+Datos!AF17-(Datos!V17+Datos!AN17))/(Datos!V17+Datos!AN17))
     ),IF(D_I="SI",(Datos!L17-Datos!V17)/Datos!V17,(Datos!L17+Datos!AF17-(Datos!V17+Datos!AN17))/(Datos!V17+Datos!AN17))," - ")</f>
        <v>2.5125628140703518E-3</v>
      </c>
      <c r="F17" s="456">
        <f>IF(ISNUMBER((Datos!M17-Datos!W17)/Datos!W17),(Datos!M17-Datos!W17)/Datos!W17," - ")</f>
        <v>0.50526315789473686</v>
      </c>
      <c r="G17" s="457">
        <f>IF(ISNUMBER((Datos!N17-Datos!X17)/Datos!X17),(Datos!N17-Datos!X17)/Datos!X17," - ")</f>
        <v>-0.16726835138387486</v>
      </c>
      <c r="H17" s="455">
        <f>IF(ISNUMBER(((NºAsuntos!G17/NºAsuntos!E17)-Datos!BD17)/Datos!BD17),((NºAsuntos!G17/NºAsuntos!E17)-Datos!BD17)/Datos!BD17," - ")</f>
        <v>-2.6181713849051401E-2</v>
      </c>
      <c r="I17" s="456">
        <f>IF(ISNUMBER(((NºAsuntos!I17/NºAsuntos!G17)-Datos!BE17)/Datos!BE17),((NºAsuntos!I17/NºAsuntos!G17)-Datos!BE17)/Datos!BE17," - ")</f>
        <v>-7.6014721980399394E-2</v>
      </c>
      <c r="J17" s="461">
        <f>IF(ISNUMBER((('Resol  Asuntos'!D17/NºAsuntos!G17)-Datos!BF17)/Datos!BF17),(('Resol  Asuntos'!D17/NºAsuntos!G17)-Datos!BF17)/Datos!BF17," - ")</f>
        <v>0.38735518040383971</v>
      </c>
      <c r="K17" s="462">
        <f>IF(ISNUMBER((((NºAsuntos!C17+NºAsuntos!E17)/NºAsuntos!G17)-Datos!BG17)/Datos!BG17),(((NºAsuntos!C17+NºAsuntos!E17)/NºAsuntos!G17)-Datos!BG17)/Datos!BG17," - ")</f>
        <v>-1.9840787270465291E-2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5.3763440860215055E-2</v>
      </c>
      <c r="C18" s="855">
        <f>IF(ISNUMBER(
   IF(Criterios!B14="SI",(Datos!J18-Datos!T18)/Datos!T18,(Datos!J18+Datos!AD18-(Datos!T18+Datos!AL18))/(Datos!T18+Datos!AL18))
     ),IF(Criterios!B14="SI",(Datos!J18-Datos!T18)/Datos!T18,(Datos!J18+Datos!AD18-(Datos!T18+Datos!AL18))/(Datos!T18+Datos!AL18))," - ")</f>
        <v>-2.8721876495931067E-2</v>
      </c>
      <c r="D18" s="855">
        <f>IF(ISNUMBER(
   IF(Criterios!B14="SI",(Datos!K18-Datos!U18)/Datos!U18,(Datos!K18+Datos!AE18-(Datos!U18+Datos!AM18))/(Datos!U18+Datos!AM18))
     ),IF(Criterios!B14="SI",(Datos!K18-Datos!U18)/Datos!U18,(Datos!K18+Datos!AE18-(Datos!U18+Datos!AM18))/(Datos!U18+Datos!AM18))," - ")</f>
        <v>-4.4274365433055608E-2</v>
      </c>
      <c r="E18" s="855">
        <f>IF(ISNUMBER(
   IF(Criterios!B14="SI",(Datos!L18-Datos!V18)/Datos!V18,(Datos!L18+Datos!AF18-(Datos!V18+Datos!AN18))/(Datos!V18+Datos!AN18))
     ),IF(Criterios!B14="SI",(Datos!L18-Datos!V18)/Datos!V18,(Datos!L18+Datos!AF18-(Datos!V18+Datos!AN18))/(Datos!V18+Datos!AN18))," - ")</f>
        <v>6.7271352985638702E-2</v>
      </c>
      <c r="F18" s="856">
        <f>IF(ISNUMBER((Datos!M18-Datos!W18)/Datos!W18),(Datos!M18-Datos!W18)/Datos!W18," - ")</f>
        <v>1.253012048192771E-2</v>
      </c>
      <c r="G18" s="857">
        <f>IF(ISNUMBER((Datos!N18-Datos!X18)/Datos!X18),(Datos!N18-Datos!X18)/Datos!X18," - ")</f>
        <v>-0.15914438502673797</v>
      </c>
      <c r="H18" s="857">
        <f>IF(ISNUMBER(((NºAsuntos!G18/NºAsuntos!E18)-Datos!BD18)/Datos!BD18),((NºAsuntos!G18/NºAsuntos!E18)-Datos!BD18)/Datos!BD18," - ")</f>
        <v>-1.6012394967793622E-2</v>
      </c>
      <c r="I18" s="857">
        <f>IF(ISNUMBER(((NºAsuntos!I18/NºAsuntos!G18)-Datos!BE18)/Datos!BE18),((NºAsuntos!I18/NºAsuntos!G18)-Datos!BE18)/Datos!BE18," - ")</f>
        <v>0.116713117639915</v>
      </c>
      <c r="J18" s="857">
        <f>IF(ISNUMBER((('Resol  Asuntos'!D18/NºAsuntos!G18)-Datos!BF18)/Datos!BF18),(('Resol  Asuntos'!D18/NºAsuntos!G18)-Datos!BF18)/Datos!BF18," - ")</f>
        <v>5.9435976037958201E-2</v>
      </c>
      <c r="K18" s="857">
        <f>IF(ISNUMBER((((NºAsuntos!C18+NºAsuntos!E18)/NºAsuntos!G18)-Datos!BG18)/Datos!BG18),(((NºAsuntos!C18+NºAsuntos!E18)/NºAsuntos!G18)-Datos!BG18)/Datos!BG18," - ")</f>
        <v>3.3000007667575201E-2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9.5997799477375884E-2</v>
      </c>
      <c r="C19" s="802">
        <f>IF(ISNUMBER(
   IF(J_V="SI",(Datos!J19-Datos!T19)/Datos!T19,(Datos!J19+Datos!Z19-(Datos!T19+Datos!AH19))/(Datos!T19+Datos!AH19))
     ),IF(J_V="SI",(Datos!J19-Datos!T19)/Datos!T19,(Datos!J19+Datos!Z19-(Datos!T19+Datos!AH19))/(Datos!T19+Datos!AH19))," - ")</f>
        <v>-5.6754221388367731E-3</v>
      </c>
      <c r="D19" s="802">
        <f>IF(ISNUMBER(
   IF(J_V="SI",(Datos!K19-Datos!U19)/Datos!U19,(Datos!K19+Datos!AA19-(Datos!U19+Datos!AI19))/(Datos!U19+Datos!AI19))
     ),IF(J_V="SI",(Datos!K19-Datos!U19)/Datos!U19,(Datos!K19+Datos!AA19-(Datos!U19+Datos!AI19))/(Datos!U19+Datos!AI19))," - ")</f>
        <v>-3.1325768596644363E-2</v>
      </c>
      <c r="E19" s="802">
        <f>IF(ISNUMBER(
   IF(J_V="SI",(Datos!L19-Datos!V19)/Datos!V19,(Datos!L19+Datos!AB19-(Datos!V19+Datos!AJ19))/(Datos!V19+Datos!AJ19))
     ),IF(J_V="SI",(Datos!L19-Datos!V19)/Datos!V19,(Datos!L19+Datos!AB19-(Datos!V19+Datos!AJ19))/(Datos!V19+Datos!AJ19))," - ")</f>
        <v>0.13577613251348977</v>
      </c>
      <c r="F19" s="803">
        <f>IF(ISNUMBER((Datos!M19-Datos!W19)/Datos!W19),(Datos!M19-Datos!W19)/Datos!W19," - ")</f>
        <v>2.9285714285714286E-2</v>
      </c>
      <c r="G19" s="804">
        <f>IF(ISNUMBER((Datos!N19-Datos!X19)/Datos!X19),(Datos!N19-Datos!X19)/Datos!X19," - ")</f>
        <v>-9.3324692158133507E-2</v>
      </c>
      <c r="H19" s="805">
        <f>IF(ISNUMBER((Tasas!B19-Datos!BD19)/Datos!BD19),(Tasas!B19-Datos!BD19)/Datos!BD19," - ")</f>
        <v>-2.5796753926150152E-2</v>
      </c>
      <c r="I19" s="806">
        <f>IF(ISNUMBER((Tasas!C19-Datos!BE19)/Datos!BE19),(Tasas!C19-Datos!BE19)/Datos!BE19," - ")</f>
        <v>0.17250577716726009</v>
      </c>
      <c r="J19" s="807">
        <f>IF(ISNUMBER((Tasas!D19-Datos!BF19)/Datos!BF19),(Tasas!D19-Datos!BF19)/Datos!BF19," - ")</f>
        <v>-0.32443223421238998</v>
      </c>
      <c r="K19" s="807">
        <f>IF(ISNUMBER((Tasas!E19-Datos!BG19)/Datos!BG19),(Tasas!E19-Datos!BG19)/Datos!BG19," - ")</f>
        <v>5.3172617605958837E-2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kGDksz5GtSD42n0gbMHg8EgQ8sEZ3jqfzfrUCvjTVnOTk/sMqL62LHJZoRYAKGj5Q7wh8OY+Xq3I0cb5qc83w==" saltValue="c8PZQA9SAn/9HiYTh9Mw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TORRENT</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0.91229538690476186</v>
      </c>
      <c r="C9" s="443">
        <f>IF(ISNUMBER(NºAsuntos!I9/NºAsuntos!G9),NºAsuntos!I9/NºAsuntos!G9," - ")</f>
        <v>0.6240187582832093</v>
      </c>
      <c r="D9" s="444">
        <f>IF(ISNUMBER('Resol  Asuntos'!D9/NºAsuntos!G9),'Resol  Asuntos'!D9/NºAsuntos!G9," - ")</f>
        <v>0.21714751758589051</v>
      </c>
      <c r="E9" s="445">
        <f>IF(ISNUMBER((NºAsuntos!C9+NºAsuntos!E9)/NºAsuntos!G9),(NºAsuntos!C9+NºAsuntos!E9)/NºAsuntos!G9," - ")</f>
        <v>1.6279946987460496</v>
      </c>
      <c r="G9" s="463"/>
    </row>
    <row r="10" spans="1:7">
      <c r="A10" s="402" t="str">
        <f>Datos!A10</f>
        <v>Jdos. Violencia contra la mujer</v>
      </c>
      <c r="B10" s="442">
        <f>IF(ISNUMBER(NºAsuntos!G10/NºAsuntos!E10),NºAsuntos!G10/NºAsuntos!E10," - ")</f>
        <v>1</v>
      </c>
      <c r="C10" s="443">
        <f>IF(ISNUMBER(NºAsuntos!I10/NºAsuntos!G10),NºAsuntos!I10/NºAsuntos!G10," - ")</f>
        <v>0.35099337748344372</v>
      </c>
      <c r="D10" s="444">
        <f>IF(ISNUMBER('Resol  Asuntos'!D10/NºAsuntos!G10),'Resol  Asuntos'!D10/NºAsuntos!G10," - ")</f>
        <v>0.30463576158940397</v>
      </c>
      <c r="E10" s="445">
        <f>IF(ISNUMBER((NºAsuntos!C10+NºAsuntos!E10)/NºAsuntos!G10),(NºAsuntos!C10+NºAsuntos!E10)/NºAsuntos!G10," - ")</f>
        <v>1.3509933774834437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0.91469151438393337</v>
      </c>
      <c r="C13" s="859">
        <f>IF(ISNUMBER(NºAsuntos!I13/NºAsuntos!G13),NºAsuntos!I13/NºAsuntos!G13," - ")</f>
        <v>0.61586391059242407</v>
      </c>
      <c r="D13" s="860">
        <f>IF(ISNUMBER('Resol  Asuntos'!D13/NºAsuntos!G13),'Resol  Asuntos'!D13/NºAsuntos!G13," - ")</f>
        <v>0.21976065671051331</v>
      </c>
      <c r="E13" s="861">
        <f>IF(ISNUMBER((NºAsuntos!C13+NºAsuntos!E13)/NºAsuntos!G13),(NºAsuntos!C13+NºAsuntos!E13)/NºAsuntos!G13," - ")</f>
        <v>1.619721095836218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0.96642057632769707</v>
      </c>
      <c r="C15" s="443">
        <f>IF(ISNUMBER(NºAsuntos!I15/NºAsuntos!G15),NºAsuntos!I15/NºAsuntos!G15," - ")</f>
        <v>0.29879250862493839</v>
      </c>
      <c r="D15" s="444">
        <f>IF(ISNUMBER('Resol  Asuntos'!D15/NºAsuntos!G15),'Resol  Asuntos'!D15/NºAsuntos!G15," - ")</f>
        <v>0.22363233119763432</v>
      </c>
      <c r="E15" s="445">
        <f>IF(ISNUMBER((NºAsuntos!C15+NºAsuntos!E15)/NºAsuntos!G15),(NºAsuntos!C15+NºAsuntos!E15)/NºAsuntos!G15," - ")</f>
        <v>1.3117299162148841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1.0011448196908987</v>
      </c>
      <c r="C17" s="443">
        <f>IF(ISNUMBER(NºAsuntos!I17/NºAsuntos!G17),NºAsuntos!I17/NºAsuntos!G17," - ")</f>
        <v>0.22813036020583191</v>
      </c>
      <c r="D17" s="444">
        <f>IF(ISNUMBER('Resol  Asuntos'!D17/NºAsuntos!G17),'Resol  Asuntos'!D17/NºAsuntos!G17," - ")</f>
        <v>0.16352201257861634</v>
      </c>
      <c r="E17" s="445">
        <f>IF(ISNUMBER((NºAsuntos!C17+NºAsuntos!E17)/NºAsuntos!G17),(NºAsuntos!C17+NºAsuntos!E17)/NºAsuntos!G17," - ")</f>
        <v>1.2264150943396226</v>
      </c>
      <c r="G17" s="463"/>
    </row>
    <row r="18" spans="1:7" ht="14.25" thickTop="1" thickBot="1">
      <c r="A18" s="848" t="str">
        <f>Datos!A18</f>
        <v>TOTAL</v>
      </c>
      <c r="B18" s="858">
        <f>IF(ISNUMBER(NºAsuntos!G18/NºAsuntos!E18),NºAsuntos!G18/NºAsuntos!E18," - ")</f>
        <v>0.97240019714144899</v>
      </c>
      <c r="C18" s="859">
        <f>IF(ISNUMBER(NºAsuntos!I18/NºAsuntos!G18),NºAsuntos!I18/NºAsuntos!G18," - ")</f>
        <v>0.28626457171819564</v>
      </c>
      <c r="D18" s="862">
        <f>IF(ISNUMBER('Resol  Asuntos'!D18/NºAsuntos!G18),'Resol  Asuntos'!D18/NºAsuntos!G18," - ")</f>
        <v>0.2129751647237709</v>
      </c>
      <c r="E18" s="861">
        <f>IF(ISNUMBER((NºAsuntos!C18+NºAsuntos!E18)/NºAsuntos!G18),(NºAsuntos!C18+NºAsuntos!E18)/NºAsuntos!G18," - ")</f>
        <v>1.2966041561074506</v>
      </c>
      <c r="G18" s="463"/>
    </row>
    <row r="19" spans="1:7" ht="15.75" customHeight="1" thickTop="1" thickBot="1">
      <c r="A19" s="793" t="str">
        <f>Datos!A19</f>
        <v>TOTAL JURISDICCIONES</v>
      </c>
      <c r="B19" s="808">
        <f>IF(ISNUMBER(NºAsuntos!G19/NºAsuntos!E19),NºAsuntos!G19/NºAsuntos!E19," - ")</f>
        <v>0.94230859946223877</v>
      </c>
      <c r="C19" s="809">
        <f>IF(ISNUMBER(NºAsuntos!I19/NºAsuntos!G19),NºAsuntos!I19/NºAsuntos!G19," - ")</f>
        <v>0.45309371245494595</v>
      </c>
      <c r="D19" s="810">
        <f>IF(ISNUMBER('Resol  Asuntos'!D19/NºAsuntos!G19),'Resol  Asuntos'!D19/NºAsuntos!G19," - ")</f>
        <v>0.21640969162995594</v>
      </c>
      <c r="E19" s="811">
        <f>IF(ISNUMBER((NºAsuntos!C19+NºAsuntos!E19)/NºAsuntos!G19),(NºAsuntos!C19+NºAsuntos!E19)/NºAsuntos!G19," - ")</f>
        <v>1.460152182619143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WeaDI2LH57EkfsXL1AaPwzhXfNP8L0YeTl6EoFsFrbCTIB6oogSX0AeH9AqFKTUdgFlQ1gaB3H3uN2G4H7XqA==" saltValue="Y2QpHJJuiSaobgamTbMa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TORRENT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2386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2200</v>
      </c>
      <c r="Y9" s="334">
        <f>SUM(W9:X9)</f>
        <v>2200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10545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2130</v>
      </c>
      <c r="AJ9" s="229" t="str">
        <f>IF(ISNUMBER(Datos!BW9),Datos!BW9," - ")</f>
        <v xml:space="preserve"> - </v>
      </c>
      <c r="AK9" s="228" t="str">
        <f>IF(ISNUMBER(Datos!BX9),Datos!BX9," - ")</f>
        <v xml:space="preserve"> - </v>
      </c>
      <c r="AL9" s="243">
        <f>IF(ISNUMBER(NºAsuntos!G9/NºAsuntos!E9),NºAsuntos!G9/NºAsuntos!E9," - ")</f>
        <v>0.91229538690476186</v>
      </c>
      <c r="AM9" s="260">
        <f>IF(ISNUMBER(((NºAsuntos!I9/NºAsuntos!G9)*11)/factor_trimestre),((NºAsuntos!I9/NºAsuntos!G9)*11)/factor_trimestre," - ")</f>
        <v>6.8642063411153025</v>
      </c>
      <c r="AN9" s="244">
        <f>IF(ISNUMBER('Resol  Asuntos'!D9/NºAsuntos!G9),'Resol  Asuntos'!D9/NºAsuntos!G9," - ")</f>
        <v>0.21714751758589051</v>
      </c>
      <c r="AO9" s="245">
        <f>IF(ISNUMBER((NºAsuntos!C9+NºAsuntos!E9)/NºAsuntos!G9),(NºAsuntos!C9+NºAsuntos!E9)/NºAsuntos!G9," - ")</f>
        <v>1.6279946987460496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106</v>
      </c>
      <c r="G10" s="333">
        <f>IF(ISNUMBER(Datos!I10),Datos!I10," - ")</f>
        <v>106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302</v>
      </c>
      <c r="X10" s="226">
        <f>IF(ISNUMBER(Datos!Q10),Datos!Q10," - ")</f>
        <v>45</v>
      </c>
      <c r="Y10" s="334">
        <f t="shared" ref="Y10:Y12" si="0">SUM(W10:X10)</f>
        <v>347</v>
      </c>
      <c r="Z10" s="335" t="str">
        <f>IF(ISNUMBER(Datos!CC10),Datos!CC10," - ")</f>
        <v xml:space="preserve"> - </v>
      </c>
      <c r="AA10" s="332">
        <f>IF(ISNUMBER(Datos!L10),Datos!L10,"-")</f>
        <v>106</v>
      </c>
      <c r="AB10" s="334">
        <f>IF(ISNUMBER(Datos!R10),Datos!R10," - ")</f>
        <v>67</v>
      </c>
      <c r="AC10" s="334">
        <f t="shared" ref="AC10:AC12" si="1">IF(ISNUMBER(AA10+AB10),AA10+AB10," - ")</f>
        <v>173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3.8609271523178812</v>
      </c>
      <c r="AN10" s="244">
        <f>IF(ISNUMBER('Resol  Asuntos'!D10/NºAsuntos!G10),'Resol  Asuntos'!D10/NºAsuntos!G10," - ")</f>
        <v>0.30463576158940397</v>
      </c>
      <c r="AO10" s="245">
        <f>IF(ISNUMBER((NºAsuntos!C10+NºAsuntos!E10)/NºAsuntos!G10),(NºAsuntos!C10+NºAsuntos!E10)/NºAsuntos!G10," - ")</f>
        <v>1.3509933774834437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106</v>
      </c>
      <c r="G13" s="866">
        <f t="shared" si="3"/>
        <v>106</v>
      </c>
      <c r="H13" s="865">
        <f t="shared" si="3"/>
        <v>0</v>
      </c>
      <c r="I13" s="867">
        <f t="shared" si="3"/>
        <v>0</v>
      </c>
      <c r="J13" s="867">
        <f t="shared" si="3"/>
        <v>0</v>
      </c>
      <c r="K13" s="867">
        <f t="shared" si="3"/>
        <v>0</v>
      </c>
      <c r="L13" s="867">
        <f t="shared" si="3"/>
        <v>2426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302</v>
      </c>
      <c r="X13" s="867">
        <f t="shared" si="4"/>
        <v>2245</v>
      </c>
      <c r="Y13" s="868">
        <f t="shared" si="4"/>
        <v>2547</v>
      </c>
      <c r="Z13" s="868">
        <f t="shared" si="4"/>
        <v>0</v>
      </c>
      <c r="AA13" s="868">
        <f t="shared" si="4"/>
        <v>106</v>
      </c>
      <c r="AB13" s="868">
        <f t="shared" si="4"/>
        <v>10612</v>
      </c>
      <c r="AC13" s="868">
        <f t="shared" si="4"/>
        <v>173</v>
      </c>
      <c r="AD13" s="868">
        <f t="shared" si="4"/>
        <v>0</v>
      </c>
      <c r="AE13" s="872">
        <f t="shared" si="4"/>
        <v>0</v>
      </c>
      <c r="AF13" s="865">
        <f t="shared" si="4"/>
        <v>0</v>
      </c>
      <c r="AG13" s="873">
        <f t="shared" si="4"/>
        <v>0</v>
      </c>
      <c r="AH13" s="870">
        <f t="shared" si="4"/>
        <v>0</v>
      </c>
      <c r="AI13" s="865">
        <f t="shared" si="4"/>
        <v>2222</v>
      </c>
      <c r="AJ13" s="867">
        <f t="shared" si="4"/>
        <v>0</v>
      </c>
      <c r="AK13" s="870">
        <f>SUBTOTAL(9,AK9:AK12)</f>
        <v>0</v>
      </c>
      <c r="AL13" s="874">
        <f>IF(ISNUMBER(NºAsuntos!G13/NºAsuntos!E13),NºAsuntos!G13/NºAsuntos!E13," - ")</f>
        <v>0.91469151438393337</v>
      </c>
      <c r="AM13" s="874">
        <f>IF(ISNUMBER(((NºAsuntos!I13/NºAsuntos!G13)*11)/factor_trimestre),((NºAsuntos!I13/NºAsuntos!G13)*11)/factor_trimestre," - ")</f>
        <v>6.7745030165166646</v>
      </c>
      <c r="AN13" s="875">
        <f>IF(ISNUMBER('Resol  Asuntos'!D13/NºAsuntos!G13),'Resol  Asuntos'!D13/NºAsuntos!G13," - ")</f>
        <v>0.21976065671051331</v>
      </c>
      <c r="AO13" s="876">
        <f>IF(ISNUMBER((NºAsuntos!C13+NºAsuntos!E13)/NºAsuntos!G13),(NºAsuntos!C13+NºAsuntos!E13)/NºAsuntos!G13," - ")</f>
        <v>1.619721095836218</v>
      </c>
      <c r="AP13" s="877" t="str">
        <f t="shared" si="2"/>
        <v xml:space="preserve"> - </v>
      </c>
      <c r="AQ13" s="877">
        <f>IF(ISNUMBER((H13-W13+K13)/(F13)),(H13-W13+K13)/(F13)," - ")</f>
        <v>-2.8490566037735849</v>
      </c>
      <c r="AR13" s="878">
        <f>IF(ISNUMBER((Datos!P13-Datos!Q13)/(Datos!R13-Datos!P13+Datos!Q13)),(Datos!P13-Datos!Q13)/(Datos!R13-Datos!P13+Datos!Q13)," - ")</f>
        <v>1.7352123478094141E-2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2143</v>
      </c>
      <c r="G15" s="333">
        <f>IF(ISNUMBER(IF(D_I="SI",Datos!I15,Datos!I15+Datos!AC15)),IF(D_I="SI",Datos!I15,Datos!I15+Datos!AC15)," - ")</f>
        <v>2248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1039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8116</v>
      </c>
      <c r="X15" s="226">
        <f>IF(ISNUMBER(Datos!Q15),Datos!Q15," - ")</f>
        <v>929</v>
      </c>
      <c r="Y15" s="334">
        <f>SUM(W15)</f>
        <v>8116</v>
      </c>
      <c r="Z15" s="335" t="str">
        <f>IF(ISNUMBER(Datos!CC15),Datos!CC15," - ")</f>
        <v xml:space="preserve"> - </v>
      </c>
      <c r="AA15" s="332">
        <f>IF(ISNUMBER(IF(D_I="SI",Datos!L15,Datos!L15+Datos!AF15)),IF(D_I="SI",Datos!L15,Datos!L15+Datos!AF15)," - ")</f>
        <v>2425</v>
      </c>
      <c r="AB15" s="334">
        <f>IF(ISNUMBER(Datos!R15),Datos!R15," - ")</f>
        <v>547</v>
      </c>
      <c r="AC15" s="334">
        <f t="shared" ref="AC15:AC17" si="6">IF(ISNUMBER(AA15+AB15),AA15+AB15," - ")</f>
        <v>2972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1815</v>
      </c>
      <c r="AJ15" s="231" t="str">
        <f>IF(ISNUMBER(Datos!BW15),Datos!BW15," - ")</f>
        <v xml:space="preserve"> - </v>
      </c>
      <c r="AK15" s="232" t="str">
        <f>IF(ISNUMBER(Datos!BX15),Datos!BX15," - ")</f>
        <v xml:space="preserve"> - </v>
      </c>
      <c r="AL15" s="243">
        <f>IF(ISNUMBER(NºAsuntos!G15/NºAsuntos!E15),NºAsuntos!G15/NºAsuntos!E15," - ")</f>
        <v>0.96642057632769707</v>
      </c>
      <c r="AM15" s="260">
        <f>IF(ISNUMBER(((NºAsuntos!I15/NºAsuntos!G15)*11)/factor_trimestre),((NºAsuntos!I15/NºAsuntos!G15)*11)/factor_trimestre," - ")</f>
        <v>3.2867175948743221</v>
      </c>
      <c r="AN15" s="244">
        <f>IF(ISNUMBER('Resol  Asuntos'!D15/NºAsuntos!G15),'Resol  Asuntos'!D15/NºAsuntos!G15," - ")</f>
        <v>0.22363233119763432</v>
      </c>
      <c r="AO15" s="245">
        <f>IF(ISNUMBER((NºAsuntos!C15+NºAsuntos!E15)/NºAsuntos!G15),(NºAsuntos!C15+NºAsuntos!E15)/NºAsuntos!G15," - ")</f>
        <v>1.3117299162148841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1749</v>
      </c>
      <c r="X17" s="226">
        <f>IF(ISNUMBER(Datos!Q17),Datos!Q17," - ")</f>
        <v>39</v>
      </c>
      <c r="Y17" s="334">
        <f t="shared" si="7"/>
        <v>1788</v>
      </c>
      <c r="Z17" s="335" t="str">
        <f>IF(ISNUMBER(Datos!CC17),Datos!CC17," - ")</f>
        <v xml:space="preserve"> - </v>
      </c>
      <c r="AA17" s="332">
        <f>IF(ISNUMBER(Datos!L17),Datos!L17,"-")</f>
        <v>399</v>
      </c>
      <c r="AB17" s="334">
        <f>IF(ISNUMBER(Datos!R17),Datos!R17," - ")</f>
        <v>23</v>
      </c>
      <c r="AC17" s="334">
        <f t="shared" si="6"/>
        <v>422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286</v>
      </c>
      <c r="AJ17" s="231" t="str">
        <f>IF(ISNUMBER(Datos!BW17),Datos!BW17," - ")</f>
        <v xml:space="preserve"> - </v>
      </c>
      <c r="AK17" s="232" t="str">
        <f>IF(ISNUMBER(Datos!BX17),Datos!BX17," - ")</f>
        <v xml:space="preserve"> - </v>
      </c>
      <c r="AL17" s="243">
        <f>IF(ISNUMBER(NºAsuntos!G17/NºAsuntos!E17),NºAsuntos!G17/NºAsuntos!E17," - ")</f>
        <v>1.0011448196908987</v>
      </c>
      <c r="AM17" s="260">
        <f>IF(ISNUMBER(((NºAsuntos!I17/NºAsuntos!G17)*11)/factor_trimestre),((NºAsuntos!I17/NºAsuntos!G17)*11)/factor_trimestre," - ")</f>
        <v>2.5094339622641511</v>
      </c>
      <c r="AN17" s="244">
        <f>IF(ISNUMBER('Resol  Asuntos'!D17/NºAsuntos!G17),'Resol  Asuntos'!D17/NºAsuntos!G17," - ")</f>
        <v>0.16352201257861634</v>
      </c>
      <c r="AO17" s="245">
        <f>IF(ISNUMBER((NºAsuntos!C17+NºAsuntos!E17)/NºAsuntos!G17),(NºAsuntos!C17+NºAsuntos!E17)/NºAsuntos!G17," - ")</f>
        <v>1.2264150943396226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2143</v>
      </c>
      <c r="G18" s="866">
        <f>SUBTOTAL(9,G15:G17)</f>
        <v>2646</v>
      </c>
      <c r="H18" s="865">
        <f t="shared" ref="H18:O18" si="10">SUBTOTAL(9,H14:H17)</f>
        <v>0</v>
      </c>
      <c r="I18" s="867">
        <f t="shared" si="10"/>
        <v>0</v>
      </c>
      <c r="J18" s="867">
        <f t="shared" si="10"/>
        <v>0</v>
      </c>
      <c r="K18" s="867">
        <f t="shared" si="10"/>
        <v>0</v>
      </c>
      <c r="L18" s="867">
        <f t="shared" si="10"/>
        <v>1089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9865</v>
      </c>
      <c r="X18" s="867">
        <f t="shared" si="11"/>
        <v>968</v>
      </c>
      <c r="Y18" s="868">
        <f t="shared" si="11"/>
        <v>9904</v>
      </c>
      <c r="Z18" s="868">
        <f t="shared" si="11"/>
        <v>0</v>
      </c>
      <c r="AA18" s="868">
        <f t="shared" si="11"/>
        <v>2824</v>
      </c>
      <c r="AB18" s="868">
        <f t="shared" si="11"/>
        <v>570</v>
      </c>
      <c r="AC18" s="868">
        <f t="shared" si="11"/>
        <v>3394</v>
      </c>
      <c r="AD18" s="868">
        <f t="shared" si="11"/>
        <v>0</v>
      </c>
      <c r="AE18" s="872">
        <f t="shared" si="11"/>
        <v>0</v>
      </c>
      <c r="AF18" s="865">
        <f t="shared" si="11"/>
        <v>0</v>
      </c>
      <c r="AG18" s="873">
        <f t="shared" si="11"/>
        <v>0</v>
      </c>
      <c r="AH18" s="870">
        <f t="shared" si="11"/>
        <v>0</v>
      </c>
      <c r="AI18" s="865">
        <f t="shared" si="11"/>
        <v>2101</v>
      </c>
      <c r="AJ18" s="867">
        <f t="shared" si="11"/>
        <v>0</v>
      </c>
      <c r="AK18" s="870">
        <f t="shared" si="11"/>
        <v>0</v>
      </c>
      <c r="AL18" s="874">
        <f>IF(ISNUMBER(NºAsuntos!G18/NºAsuntos!E18),NºAsuntos!G18/NºAsuntos!E18," - ")</f>
        <v>0.97240019714144899</v>
      </c>
      <c r="AM18" s="874">
        <f>IF(ISNUMBER(((NºAsuntos!I18/NºAsuntos!G18)*11)/factor_trimestre),((NºAsuntos!I18/NºAsuntos!G18)*11)/factor_trimestre," - ")</f>
        <v>3.1489102889001521</v>
      </c>
      <c r="AN18" s="875">
        <f>IF(ISNUMBER('Resol  Asuntos'!D18/NºAsuntos!G18),'Resol  Asuntos'!D18/NºAsuntos!G18," - ")</f>
        <v>0.2129751647237709</v>
      </c>
      <c r="AO18" s="876">
        <f>IF(ISNUMBER((NºAsuntos!C18+NºAsuntos!E18)/NºAsuntos!G18),(NºAsuntos!C18+NºAsuntos!E18)/NºAsuntos!G18," - ")</f>
        <v>1.2966041561074506</v>
      </c>
      <c r="AP18" s="877" t="str">
        <f t="shared" si="2"/>
        <v xml:space="preserve"> - </v>
      </c>
      <c r="AQ18" s="877">
        <f>IF(ISNUMBER((H18-W18+K18)/(F18)),(H18-W18+K18)/(F18)," - ")</f>
        <v>-4.6033597760149325</v>
      </c>
      <c r="AR18" s="878">
        <f>IF(ISNUMBER((Datos!P18-Datos!Q18)/(Datos!R18-Datos!P18+Datos!Q18)),(Datos!P18-Datos!Q18)/(Datos!R18-Datos!P18+Datos!Q18)," - ")</f>
        <v>0.26948775055679286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2249</v>
      </c>
      <c r="G19" s="821">
        <f t="shared" si="13"/>
        <v>2752</v>
      </c>
      <c r="H19" s="820">
        <f t="shared" si="13"/>
        <v>0</v>
      </c>
      <c r="I19" s="822">
        <f t="shared" si="13"/>
        <v>0</v>
      </c>
      <c r="J19" s="822">
        <f t="shared" si="13"/>
        <v>0</v>
      </c>
      <c r="K19" s="881">
        <f t="shared" si="13"/>
        <v>0</v>
      </c>
      <c r="L19" s="822">
        <f t="shared" si="13"/>
        <v>3515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10167</v>
      </c>
      <c r="X19" s="821">
        <f t="shared" si="14"/>
        <v>3213</v>
      </c>
      <c r="Y19" s="828">
        <f t="shared" si="14"/>
        <v>12451</v>
      </c>
      <c r="Z19" s="828">
        <f t="shared" si="14"/>
        <v>0</v>
      </c>
      <c r="AA19" s="828">
        <f t="shared" si="14"/>
        <v>2930</v>
      </c>
      <c r="AB19" s="828">
        <f t="shared" si="14"/>
        <v>11182</v>
      </c>
      <c r="AC19" s="828">
        <f t="shared" si="14"/>
        <v>3567</v>
      </c>
      <c r="AD19" s="828">
        <f t="shared" si="14"/>
        <v>0</v>
      </c>
      <c r="AE19" s="830">
        <f t="shared" si="14"/>
        <v>0</v>
      </c>
      <c r="AF19" s="831">
        <f t="shared" si="14"/>
        <v>0</v>
      </c>
      <c r="AG19" s="832">
        <f t="shared" si="14"/>
        <v>0</v>
      </c>
      <c r="AH19" s="830">
        <f t="shared" si="14"/>
        <v>0</v>
      </c>
      <c r="AI19" s="820">
        <f t="shared" si="14"/>
        <v>4323</v>
      </c>
      <c r="AJ19" s="820">
        <f t="shared" si="14"/>
        <v>0</v>
      </c>
      <c r="AK19" s="830">
        <f t="shared" si="14"/>
        <v>0</v>
      </c>
      <c r="AL19" s="884">
        <f>IF(ISNUMBER(NºAsuntos!G19/NºAsuntos!E19),NºAsuntos!G19/NºAsuntos!E19," - ")</f>
        <v>0.94230859946223877</v>
      </c>
      <c r="AM19" s="885">
        <f>IF(ISNUMBER(((NºAsuntos!I19/NºAsuntos!G19)*11)/factor_trimestre),((NºAsuntos!I19/NºAsuntos!G19)*11)/factor_trimestre," - ")</f>
        <v>4.9840308370044051</v>
      </c>
      <c r="AN19" s="885">
        <f>IF(ISNUMBER('Resol  Asuntos'!D19/NºAsuntos!G19),'Resol  Asuntos'!D19/NºAsuntos!G19," - ")</f>
        <v>0.21640969162995594</v>
      </c>
      <c r="AO19" s="886">
        <f>IF(ISNUMBER((NºAsuntos!C19+NºAsuntos!E19)/NºAsuntos!G19),(NºAsuntos!C19+NºAsuntos!E19)/NºAsuntos!G19," - ")</f>
        <v>1.460152182619143</v>
      </c>
      <c r="AP19" s="887" t="str">
        <f t="shared" si="2"/>
        <v xml:space="preserve"> - </v>
      </c>
      <c r="AQ19" s="888">
        <f>IF(OR(ISNUMBER(FIND("01",Criterios!A8,1)),ISNUMBER(FIND("02",Criterios!A8,1)),ISNUMBER(FIND("03",Criterios!A8,1)),ISNUMBER(FIND("04",Criterios!A8,1))),(I19-W19+K19)/(F19-K19),(H19-W19+K19)/(F19-K19))</f>
        <v>-4.5206758559359717</v>
      </c>
      <c r="AR19" s="889">
        <f>IF(ISNUMBER((Datos!P19-Datos!Q19)/(Datos!R19-Datos!P19+Datos!Q19)),(Datos!P19-Datos!Q19)/(Datos!R19-Datos!P19+Datos!Q19)," - ")</f>
        <v>2.7757352941176469E-2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1176.0624983392677</v>
      </c>
      <c r="G21" s="253">
        <f>IF(ISNUMBER(STDEV(G8:G18)),STDEV(G8:G18),"-")</f>
        <v>1242.6677753929246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4575.335474039035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981.22209514462122</v>
      </c>
      <c r="AJ21" s="252">
        <f t="shared" si="18"/>
        <v>0</v>
      </c>
      <c r="AK21" s="254">
        <f t="shared" si="18"/>
        <v>0</v>
      </c>
      <c r="AL21" s="249">
        <f t="shared" si="18"/>
        <v>3.9518141808037678E-2</v>
      </c>
      <c r="AM21" s="250">
        <f t="shared" si="18"/>
        <v>1.9172744787048932</v>
      </c>
      <c r="AN21" s="250">
        <f t="shared" si="18"/>
        <v>4.5487188495482889E-2</v>
      </c>
      <c r="AO21" s="251">
        <f t="shared" si="18"/>
        <v>0.17383212742335941</v>
      </c>
      <c r="AP21" s="291" t="str">
        <f t="shared" si="18"/>
        <v>-</v>
      </c>
      <c r="AQ21" s="292">
        <f t="shared" si="18"/>
        <v>1.2404796693489291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IZxw85/4Rxo/Nki/bPdzUyClcyPO9PmY40RYDmnDIHiqrVwSB6J9pOV/9dJLw5tAd9txyBdzO4WBTFkutxyMgg==" saltValue="tWxrSZeTCTb0h7rKOr+U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TORRENT</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3.0478955007256895E-2</v>
      </c>
      <c r="I9" s="350">
        <f>IF(ISNUMBER((Tasas!C9-Datos!BE9)/Datos!BE9),(Tasas!C9-Datos!BE9)/Datos!BE9," - ")</f>
        <v>0.20641234350094867</v>
      </c>
      <c r="J9" s="349">
        <f>IF(ISNUMBER((Tasas!D9-Datos!BF9)/Datos!BF9),(Tasas!D9-Datos!BF9)/Datos!BF9," - ")</f>
        <v>-0.51036220380699937</v>
      </c>
      <c r="K9" s="351">
        <f>IF(ISNUMBER((Tasas!E9-Datos!BG9)/Datos!BG9),(Tasas!E9-Datos!BG9)/Datos!BG9," - ")</f>
        <v>7.5026484977913935E-2</v>
      </c>
      <c r="M9" t="e">
        <f>IF(Monitorios="SI",Datos!CE9,0)</f>
        <v>#REF!</v>
      </c>
      <c r="N9" t="e">
        <f>IF(Monitorios="SI",Datos!CF9,0)</f>
        <v>#REF!</v>
      </c>
      <c r="O9" t="e">
        <f>IF(Monitorios="SI",Datos!CG9,0)</f>
        <v>#REF!</v>
      </c>
      <c r="P9" t="e">
        <f>IF(Monitorios="SI",Datos!CH9,0)</f>
        <v>#REF!</v>
      </c>
      <c r="Q9">
        <f>IF(J_V="SI",0,Datos!AG9)</f>
        <v>325</v>
      </c>
      <c r="R9">
        <f>IF(J_V="SI",0,Datos!AH9)</f>
        <v>982</v>
      </c>
      <c r="S9">
        <f>IF(J_V="SI",0,Datos!AI9)</f>
        <v>1035</v>
      </c>
      <c r="T9">
        <f>IF(J_V="SI",0,Datos!AJ9)</f>
        <v>272</v>
      </c>
    </row>
    <row r="10" spans="2:20" ht="14.25">
      <c r="B10" s="275" t="s">
        <v>246</v>
      </c>
      <c r="C10" s="7" t="str">
        <f>Datos!A10</f>
        <v>Jdos. Violencia contra la mujer</v>
      </c>
      <c r="D10" s="352">
        <f>IF(ISNUMBER((Datos!I10-Datos!S10)/Datos!S10),(Datos!I10-Datos!S10)/Datos!S10," - ")</f>
        <v>0.11578947368421053</v>
      </c>
      <c r="E10" s="348">
        <f>IF(ISNUMBER((Datos!J10-Datos!T10)/Datos!T10),(Datos!J10-Datos!T10)/Datos!T10," - ")</f>
        <v>0.13533834586466165</v>
      </c>
      <c r="F10" s="348">
        <f>IF(ISNUMBER((Datos!K10-Datos!U10)/Datos!U10),(Datos!K10-Datos!U10)/Datos!U10," - ")</f>
        <v>0.41121495327102803</v>
      </c>
      <c r="G10" s="349">
        <f>IF(ISNUMBER((Datos!L10-Datos!V10)/Datos!V10),(Datos!L10-Datos!V10)/Datos!V10," - ")</f>
        <v>0</v>
      </c>
      <c r="H10" s="230">
        <f>IF(ISNUMBER((Datos!M10-Datos!W10)/Datos!W10),(Datos!M10-Datos!W10)/Datos!W10," - ")</f>
        <v>0.58620689655172409</v>
      </c>
      <c r="I10" s="350">
        <f>IF(ISNUMBER((Tasas!C10-Datos!BE10)/Datos!BE10),(Tasas!C10-Datos!BE10)/Datos!BE10," - ")</f>
        <v>-0.29139072847682118</v>
      </c>
      <c r="J10" s="349">
        <f>IF(ISNUMBER((Tasas!D10-Datos!BF10)/Datos!BF10),(Tasas!D10-Datos!BF10)/Datos!BF10," - ")</f>
        <v>0.12400091345055959</v>
      </c>
      <c r="K10" s="351">
        <f>IF(ISNUMBER((Tasas!E10-Datos!BG10)/Datos!BG10),(Tasas!E10-Datos!BG10)/Datos!BG10," - ")</f>
        <v>-0.19913411971895581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4.5647058823529409E-2</v>
      </c>
      <c r="I13" s="357">
        <f>IF(ISNUMBER((Tasas!C13-Datos!BE13)/Datos!BE13),(Tasas!C13-Datos!BE13)/Datos!BE13," - ")</f>
        <v>0.19169608850309378</v>
      </c>
      <c r="J13" s="355">
        <f>IF(ISNUMBER((Tasas!D13-Datos!BF13)/Datos!BF13),(Tasas!D13-Datos!BF13)/Datos!BF13," - ")</f>
        <v>-0.50043373115906264</v>
      </c>
      <c r="K13" s="358">
        <f>IF(ISNUMBER((Tasas!E13-Datos!BG13)/Datos!BG13),(Tasas!E13-Datos!BG13)/Datos!BG13," - ")</f>
        <v>6.7037242540009381E-2</v>
      </c>
      <c r="M13" t="e">
        <f>IF(Monitorios="SI",Datos!CE13,0)</f>
        <v>#REF!</v>
      </c>
      <c r="N13" t="e">
        <f>IF(Monitorios="SI",Datos!CF13,0)</f>
        <v>#REF!</v>
      </c>
      <c r="O13" t="e">
        <f>IF(Monitorios="SI",Datos!CG13,0)</f>
        <v>#REF!</v>
      </c>
      <c r="P13" t="e">
        <f>IF(Monitorios="SI",Datos!CH13,0)</f>
        <v>#REF!</v>
      </c>
      <c r="Q13">
        <f>IF(J_V="SI",0,Datos!AG13)</f>
        <v>325</v>
      </c>
      <c r="R13">
        <f>IF(J_V="SI",0,Datos!AH13)</f>
        <v>982</v>
      </c>
      <c r="S13">
        <f>IF(J_V="SI",0,Datos!AI13)</f>
        <v>1035</v>
      </c>
      <c r="T13">
        <f>IF(J_V="SI",0,Datos!AJ13)</f>
        <v>272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9.0203685741998066E-2</v>
      </c>
      <c r="E15" s="348">
        <f>IF(ISNUMBER(
   IF(D_I="SI",(Datos!J15-Datos!T15)/Datos!T15,(Datos!J15+Datos!AD15-(Datos!T15+Datos!AL15))/(Datos!T15+Datos!AL15))
     ),IF(D_I="SI",(Datos!J15-Datos!T15)/Datos!T15,(Datos!J15+Datos!AD15-(Datos!T15+Datos!AL15))/(Datos!T15+Datos!AL15))," - ")</f>
        <v>-5.3959671060042805E-2</v>
      </c>
      <c r="F15" s="348">
        <f>IF(ISNUMBER(
   IF(D_I="SI",(Datos!K15-Datos!U15)/Datos!U15,(Datos!K15+Datos!AE15-(Datos!U15+Datos!AM15))/(Datos!U15+Datos!AM15))
     ),IF(D_I="SI",(Datos!K15-Datos!U15)/Datos!U15,(Datos!K15+Datos!AE15-(Datos!U15+Datos!AM15))/(Datos!U15+Datos!AM15))," - ")</f>
        <v>-6.8197474167623423E-2</v>
      </c>
      <c r="G15" s="349">
        <f>IF(ISNUMBER(
   IF(D_I="SI",(Datos!L15-Datos!V15)/Datos!V15,(Datos!L15+Datos!AF15-(Datos!V15+Datos!AN15))/(Datos!V15+Datos!AN15))
     ),IF(D_I="SI",(Datos!L15-Datos!V15)/Datos!V15,(Datos!L15+Datos!AF15-(Datos!V15+Datos!AN15))/(Datos!V15+Datos!AN15))," - ")</f>
        <v>7.8736654804270459E-2</v>
      </c>
      <c r="H15" s="230">
        <f>IF(ISNUMBER((Datos!M15-Datos!W15)/Datos!W15),(Datos!M15-Datos!W15)/Datos!W15," - ")</f>
        <v>-3.7135278514588858E-2</v>
      </c>
      <c r="I15" s="350">
        <f>IF(ISNUMBER((Tasas!C15-Datos!BE15)/Datos!BE15),(Tasas!C15-Datos!BE15)/Datos!BE15," - ")</f>
        <v>0.15768805610463218</v>
      </c>
      <c r="J15" s="349">
        <f>IF(ISNUMBER((Tasas!D15-Datos!BF15)/Datos!BF15),(Tasas!D15-Datos!BF15)/Datos!BF15," - ")</f>
        <v>3.3335599327000004E-2</v>
      </c>
      <c r="K15" s="351">
        <f>IF(ISNUMBER((Tasas!E15-Datos!BG15)/Datos!BG15),(Tasas!E15-Datos!BG15)/Datos!BG15," - ")</f>
        <v>4.4443511311055825E-2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-0.11358574610244988</v>
      </c>
      <c r="E17" s="348">
        <f>IF(ISNUMBER(
   IF(D_I="SI",(Datos!J17-Datos!T17)/Datos!T17,(Datos!J17+Datos!AD17-(Datos!T17+Datos!AL17))/(Datos!T17+Datos!AL17))
     ),IF(D_I="SI",(Datos!J17-Datos!T17)/Datos!T17,(Datos!J17+Datos!AD17-(Datos!T17+Datos!AL17))/(Datos!T17+Datos!AL17))," - ")</f>
        <v>0.11415816326530612</v>
      </c>
      <c r="F17" s="348">
        <f>IF(ISNUMBER(
   IF(D_I="SI",(Datos!K17-Datos!U17)/Datos!U17,(Datos!K17+Datos!AE17-(Datos!U17+Datos!AM17))/(Datos!U17+Datos!AM17))
     ),IF(D_I="SI",(Datos!K17-Datos!U17)/Datos!U17,(Datos!K17+Datos!AE17-(Datos!U17+Datos!AM17))/(Datos!U17+Datos!AM17))," - ")</f>
        <v>8.4987593052109178E-2</v>
      </c>
      <c r="G17" s="349">
        <f>IF(ISNUMBER(
   IF(D_I="SI",(Datos!L17-Datos!V17)/Datos!V17,(Datos!L17+Datos!AF17-(Datos!V17+Datos!AN17))/(Datos!V17+Datos!AN17))
     ),IF(D_I="SI",(Datos!L17-Datos!V17)/Datos!V17,(Datos!L17+Datos!AF17-(Datos!V17+Datos!AN17))/(Datos!V17+Datos!AN17))," - ")</f>
        <v>2.5125628140703518E-3</v>
      </c>
      <c r="H17" s="230">
        <f>IF(ISNUMBER((Datos!M17-Datos!W17)/Datos!W17),(Datos!M17-Datos!W17)/Datos!W17," - ")</f>
        <v>0.50526315789473686</v>
      </c>
      <c r="I17" s="350">
        <f>IF(ISNUMBER((Tasas!C17-Datos!BE17)/Datos!BE17),(Tasas!C17-Datos!BE17)/Datos!BE17," - ")</f>
        <v>-7.6014721980399394E-2</v>
      </c>
      <c r="J17" s="349">
        <f>IF(ISNUMBER((Tasas!D17-Datos!BF17)/Datos!BF17),(Tasas!D17-Datos!BF17)/Datos!BF17," - ")</f>
        <v>0.38735518040383971</v>
      </c>
      <c r="K17" s="351">
        <f>IF(ISNUMBER((Tasas!E17-Datos!BG17)/Datos!BG17),(Tasas!E17-Datos!BG17)/Datos!BG17," - ")</f>
        <v>-1.9840787270465291E-2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5.3763440860215055E-2</v>
      </c>
      <c r="E18" s="354">
        <f>IF(ISNUMBER(
   IF(D_I="SI",(Datos!J18-Datos!T18)/Datos!T18,(Datos!J18+Datos!AD18-(Datos!T18+Datos!AL18))/(Datos!T18+Datos!AL18))
     ),IF(D_I="SI",(Datos!J18-Datos!T18)/Datos!T18,(Datos!J18+Datos!AD18-(Datos!T18+Datos!AL18))/(Datos!T18+Datos!AL18))," - ")</f>
        <v>-2.8721876495931067E-2</v>
      </c>
      <c r="F18" s="354">
        <f>IF(ISNUMBER(
   IF(D_I="SI",(Datos!K18-Datos!U18)/Datos!U18,(Datos!K18+Datos!AE18-(Datos!U18+Datos!AM18))/(Datos!U18+Datos!AM18))
     ),IF(D_I="SI",(Datos!K18-Datos!U18)/Datos!U18,(Datos!K18+Datos!AE18-(Datos!U18+Datos!AM18))/(Datos!U18+Datos!AM18))," - ")</f>
        <v>-4.4274365433055608E-2</v>
      </c>
      <c r="G18" s="355">
        <f>IF(ISNUMBER(
   IF(D_I="SI",(Datos!L18-Datos!V18)/Datos!V18,(Datos!L18+Datos!AF18-(Datos!V18+Datos!AN18))/(Datos!V18+Datos!AN18))
     ),IF(D_I="SI",(Datos!L18-Datos!V18)/Datos!V18,(Datos!L18+Datos!AF18-(Datos!V18+Datos!AN18))/(Datos!V18+Datos!AN18))," - ")</f>
        <v>6.7271352985638702E-2</v>
      </c>
      <c r="H18" s="356">
        <f>IF(ISNUMBER((Datos!M18-Datos!W18)/Datos!W18),(Datos!M18-Datos!W18)/Datos!W18," - ")</f>
        <v>1.253012048192771E-2</v>
      </c>
      <c r="I18" s="357">
        <f>IF(ISNUMBER((Tasas!C18-Datos!BE18)/Datos!BE18),(Tasas!C18-Datos!BE18)/Datos!BE18," - ")</f>
        <v>0.116713117639915</v>
      </c>
      <c r="J18" s="355">
        <f>IF(ISNUMBER((Tasas!D18-Datos!BF18)/Datos!BF18),(Tasas!D18-Datos!BF18)/Datos!BF18," - ")</f>
        <v>5.9435976037958201E-2</v>
      </c>
      <c r="K18" s="358">
        <f>IF(ISNUMBER((Tasas!E18-Datos!BG18)/Datos!BG18),(Tasas!E18-Datos!BG18)/Datos!BG18," - ")</f>
        <v>3.3000007667575201E-2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9.5997799477375884E-2</v>
      </c>
      <c r="E19" s="363">
        <f>IF(ISNUMBER(
   IF(J_V="SI",(Datos!J19-Datos!T19)/Datos!T19,(Datos!J19+Datos!Z19-(Datos!T19+Datos!AH19))/(Datos!T19+Datos!AH19))
     ),IF(J_V="SI",(Datos!J19-Datos!T19)/Datos!T19,(Datos!J19+Datos!Z19-(Datos!T19+Datos!AH19))/(Datos!T19+Datos!AH19))," - ")</f>
        <v>-5.6754221388367731E-3</v>
      </c>
      <c r="F19" s="363">
        <f>IF(ISNUMBER(
   IF(J_V="SI",(Datos!K19-Datos!U19)/Datos!U19,(Datos!K19+Datos!AA19-(Datos!U19+Datos!AI19))/(Datos!U19+Datos!AI19))
     ),IF(J_V="SI",(Datos!K19-Datos!U19)/Datos!U19,(Datos!K19+Datos!AA19-(Datos!U19+Datos!AI19))/(Datos!U19+Datos!AI19))," - ")</f>
        <v>-3.1325768596644363E-2</v>
      </c>
      <c r="G19" s="364">
        <f>IF(ISNUMBER(
   IF(J_V="SI",(Datos!L19-Datos!V19)/Datos!V19,(Datos!L19+Datos!AB19-(Datos!V19+Datos!AJ19))/(Datos!V19+Datos!AJ19))
     ),IF(J_V="SI",(Datos!L19-Datos!V19)/Datos!V19,(Datos!L19+Datos!AB19-(Datos!V19+Datos!AJ19))/(Datos!V19+Datos!AJ19))," - ")</f>
        <v>0.13577613251348977</v>
      </c>
      <c r="H19" s="365">
        <f>IF(ISNUMBER((Datos!M19-Datos!W19)/Datos!W19),(Datos!M19-Datos!W19)/Datos!W19," - ")</f>
        <v>2.9285714285714286E-2</v>
      </c>
      <c r="I19" s="362">
        <f>IF(ISNUMBER((Tasas!C19-Datos!BE19)/Datos!BE19),(Tasas!C19-Datos!BE19)/Datos!BE19," - ")</f>
        <v>0.17250577716726009</v>
      </c>
      <c r="J19" s="363">
        <f>IF(ISNUMBER((Tasas!D19-Datos!BF19)/Datos!BF19),(Tasas!D19-Datos!BF19)/Datos!BF19," - ")</f>
        <v>-0.32443223421238998</v>
      </c>
      <c r="K19" s="364">
        <f>IF(ISNUMBER((Tasas!E19-Datos!BG19)/Datos!BG19),(Tasas!E19-Datos!BG19)/Datos!BG19," - ")</f>
        <v>5.3172617605958837E-2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0.10327093294673895</v>
      </c>
      <c r="E21" s="278">
        <f t="shared" si="1"/>
        <v>9.6830330201188072E-2</v>
      </c>
      <c r="F21" s="278">
        <f t="shared" si="1"/>
        <v>0.22069543860518037</v>
      </c>
      <c r="G21" s="279">
        <f t="shared" si="1"/>
        <v>4.1699795127582193E-2</v>
      </c>
      <c r="H21" s="285">
        <f t="shared" si="1"/>
        <v>0.27775528833159174</v>
      </c>
      <c r="I21" s="277">
        <f t="shared" si="1"/>
        <v>0.19647542226356243</v>
      </c>
      <c r="J21" s="278">
        <f t="shared" si="1"/>
        <v>0.36149812679494908</v>
      </c>
      <c r="K21" s="279">
        <f t="shared" si="1"/>
        <v>0.10318449378088612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qlHz+DURzNxlnMs5tWGy3txzbmcQIITyaZIxquFvnKkWoZTn5EtfLJEn+cn1XVb5YwE0r4NUlVZ4/yOzRTKCQ==" saltValue="wX4gcHYiIvX85u4d5pbG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